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C:\Users\deneb\Documents\Hidra\Queluzito\AmpliacaoUBS\Licitaçao\"/>
    </mc:Choice>
  </mc:AlternateContent>
  <xr:revisionPtr revIDLastSave="0" documentId="13_ncr:1_{42DDAB45-150D-43B6-8E54-B72BA3A1DBFD}" xr6:coauthVersionLast="47" xr6:coauthVersionMax="47" xr10:uidLastSave="{00000000-0000-0000-0000-000000000000}"/>
  <bookViews>
    <workbookView xWindow="-110" yWindow="-110" windowWidth="19420" windowHeight="10300" activeTab="1" xr2:uid="{50AE9ACB-EA5D-434F-9668-2EDF043EB473}"/>
  </bookViews>
  <sheets>
    <sheet name="Memória" sheetId="1" r:id="rId1"/>
    <sheet name="Orçamento202411" sheetId="8" r:id="rId2"/>
    <sheet name="CPU" sheetId="6" r:id="rId3"/>
    <sheet name="BDI" sheetId="4" r:id="rId4"/>
    <sheet name="CRONOGRAMA " sheetId="5" r:id="rId5"/>
    <sheet name="cotações" sheetId="7" r:id="rId6"/>
    <sheet name="Proj.Estr" sheetId="9" r:id="rId7"/>
  </sheets>
  <definedNames>
    <definedName name="_xlnm._FilterDatabase" localSheetId="1" hidden="1">Orçamento202411!$A$8:$I$410</definedName>
    <definedName name="_xlnm.Print_Titles" localSheetId="1">Orçamento202411!$8:$8</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4" i="5" l="1"/>
  <c r="B12" i="5"/>
  <c r="B10" i="5"/>
  <c r="B8" i="5"/>
  <c r="B6" i="5"/>
  <c r="A2" i="6"/>
  <c r="A3" i="5"/>
  <c r="A1" i="5"/>
  <c r="A2" i="4"/>
  <c r="A1" i="4"/>
  <c r="H51" i="6"/>
  <c r="H50" i="6"/>
  <c r="H49" i="6"/>
  <c r="F188" i="8"/>
  <c r="F344" i="8"/>
  <c r="F343" i="8"/>
  <c r="F342" i="8"/>
  <c r="F341" i="8"/>
  <c r="F340" i="8"/>
  <c r="D112" i="8"/>
  <c r="F109" i="8"/>
  <c r="F104" i="8"/>
  <c r="H52" i="6" l="1"/>
  <c r="G202" i="8" s="1"/>
  <c r="F41" i="8"/>
  <c r="F263" i="8"/>
  <c r="F262" i="8"/>
  <c r="F261" i="8"/>
  <c r="F257" i="8"/>
  <c r="F256" i="8"/>
  <c r="F255" i="8"/>
  <c r="T63" i="9"/>
  <c r="S63" i="9"/>
  <c r="R63" i="9"/>
  <c r="Q63" i="9"/>
  <c r="F43" i="8"/>
  <c r="F42" i="8"/>
  <c r="T57" i="9"/>
  <c r="S57" i="9"/>
  <c r="R57" i="9"/>
  <c r="Q57" i="9"/>
  <c r="I61" i="9"/>
  <c r="F37" i="8"/>
  <c r="F36" i="8"/>
  <c r="F35" i="8"/>
  <c r="X51" i="9"/>
  <c r="W51" i="9"/>
  <c r="V51" i="9"/>
  <c r="S51" i="9"/>
  <c r="R51" i="9"/>
  <c r="Q51" i="9"/>
  <c r="K61" i="9"/>
  <c r="F91" i="9"/>
  <c r="F90" i="9"/>
  <c r="E90" i="9"/>
  <c r="F88" i="9"/>
  <c r="E88" i="9"/>
  <c r="F87" i="9"/>
  <c r="E87" i="9"/>
  <c r="F86" i="9"/>
  <c r="E86" i="9"/>
  <c r="F85" i="9"/>
  <c r="E85" i="9"/>
  <c r="F83" i="9"/>
  <c r="F84" i="9" s="1"/>
  <c r="E83" i="9"/>
  <c r="L61" i="9"/>
  <c r="J61" i="9"/>
  <c r="L59" i="9"/>
  <c r="J59" i="9"/>
  <c r="I59" i="9"/>
  <c r="L35" i="9"/>
  <c r="K35" i="9"/>
  <c r="J35" i="9"/>
  <c r="J36" i="9" s="1"/>
  <c r="L26" i="9"/>
  <c r="J26" i="9"/>
  <c r="G33" i="6"/>
  <c r="H33" i="6" s="1"/>
  <c r="Q44" i="7"/>
  <c r="D48" i="7"/>
  <c r="G20" i="6" s="1"/>
  <c r="H20" i="6" s="1"/>
  <c r="G42" i="6"/>
  <c r="H42" i="6" s="1"/>
  <c r="G385" i="8"/>
  <c r="F409" i="8"/>
  <c r="F403" i="8"/>
  <c r="F402" i="8"/>
  <c r="F404" i="8" s="1"/>
  <c r="F394" i="8"/>
  <c r="F393" i="8"/>
  <c r="F395" i="8" s="1"/>
  <c r="F391" i="8"/>
  <c r="F390" i="8"/>
  <c r="F389" i="8"/>
  <c r="F388" i="8"/>
  <c r="F387" i="8"/>
  <c r="F385" i="8"/>
  <c r="F384" i="8"/>
  <c r="F383" i="8"/>
  <c r="F381" i="8"/>
  <c r="F380" i="8"/>
  <c r="F379" i="8"/>
  <c r="F378" i="8"/>
  <c r="F377" i="8"/>
  <c r="F376" i="8"/>
  <c r="F373" i="8"/>
  <c r="F372" i="8"/>
  <c r="F331" i="8"/>
  <c r="F330" i="8"/>
  <c r="F329" i="8"/>
  <c r="F328" i="8"/>
  <c r="F327" i="8"/>
  <c r="F326" i="8"/>
  <c r="F325" i="8"/>
  <c r="F324" i="8"/>
  <c r="F321" i="8"/>
  <c r="F320" i="8"/>
  <c r="F319" i="8"/>
  <c r="F318" i="8"/>
  <c r="F313" i="8"/>
  <c r="F312" i="8"/>
  <c r="F311" i="8"/>
  <c r="F310" i="8"/>
  <c r="F308" i="8"/>
  <c r="F306" i="8"/>
  <c r="F305" i="8"/>
  <c r="F304" i="8"/>
  <c r="F303" i="8"/>
  <c r="F302" i="8"/>
  <c r="F301" i="8"/>
  <c r="F300" i="8"/>
  <c r="F297" i="8"/>
  <c r="F298" i="8" s="1"/>
  <c r="F296" i="8"/>
  <c r="F295" i="8"/>
  <c r="F294" i="8"/>
  <c r="F293" i="8"/>
  <c r="F292" i="8" s="1"/>
  <c r="F291" i="8"/>
  <c r="F289" i="8"/>
  <c r="F288" i="8"/>
  <c r="F287" i="8"/>
  <c r="F286" i="8"/>
  <c r="F285" i="8"/>
  <c r="F284" i="8"/>
  <c r="F282" i="8"/>
  <c r="F281" i="8"/>
  <c r="F280" i="8"/>
  <c r="F279" i="8"/>
  <c r="F278" i="8"/>
  <c r="F277" i="8"/>
  <c r="F275" i="8"/>
  <c r="F274" i="8"/>
  <c r="F273" i="8"/>
  <c r="F272" i="8"/>
  <c r="F271" i="8"/>
  <c r="F270" i="8"/>
  <c r="F267" i="8"/>
  <c r="F266" i="8"/>
  <c r="F265" i="8"/>
  <c r="F264" i="8"/>
  <c r="F259" i="8"/>
  <c r="F258" i="8"/>
  <c r="F254" i="8"/>
  <c r="F253" i="8"/>
  <c r="F252" i="8"/>
  <c r="F248" i="8"/>
  <c r="F249" i="8" s="1"/>
  <c r="F250" i="8" s="1"/>
  <c r="F247" i="8"/>
  <c r="F246" i="8"/>
  <c r="F245" i="8"/>
  <c r="F244" i="8"/>
  <c r="F242" i="8"/>
  <c r="F243" i="8" s="1"/>
  <c r="F241" i="8"/>
  <c r="F240" i="8"/>
  <c r="F239" i="8"/>
  <c r="F238" i="8"/>
  <c r="F235" i="8"/>
  <c r="F234" i="8"/>
  <c r="F233" i="8"/>
  <c r="F232" i="8"/>
  <c r="F230" i="8"/>
  <c r="F229" i="8"/>
  <c r="F228" i="8"/>
  <c r="F227" i="8"/>
  <c r="F225" i="8"/>
  <c r="F224" i="8"/>
  <c r="F223" i="8"/>
  <c r="F221" i="8"/>
  <c r="F220" i="8"/>
  <c r="F219" i="8"/>
  <c r="F218" i="8"/>
  <c r="F217" i="8"/>
  <c r="F216" i="8"/>
  <c r="F166" i="8"/>
  <c r="F165" i="8"/>
  <c r="F164" i="8"/>
  <c r="F163" i="8"/>
  <c r="F162" i="8"/>
  <c r="F161" i="8"/>
  <c r="F153" i="8"/>
  <c r="F152" i="8"/>
  <c r="F154" i="8" s="1"/>
  <c r="F150" i="8"/>
  <c r="F148" i="8"/>
  <c r="F149" i="8" s="1"/>
  <c r="F147" i="8"/>
  <c r="F146" i="8"/>
  <c r="F145" i="8"/>
  <c r="F144" i="8"/>
  <c r="F143" i="8"/>
  <c r="F142" i="8"/>
  <c r="F141" i="8"/>
  <c r="F140" i="8"/>
  <c r="F139" i="8"/>
  <c r="F138" i="8"/>
  <c r="F130" i="8"/>
  <c r="F129" i="8"/>
  <c r="F128" i="8"/>
  <c r="F118" i="8"/>
  <c r="F103" i="8"/>
  <c r="F102" i="8"/>
  <c r="F101" i="8"/>
  <c r="F98" i="8"/>
  <c r="F97" i="8"/>
  <c r="F96" i="8"/>
  <c r="F95" i="8"/>
  <c r="F93" i="8"/>
  <c r="F92" i="8"/>
  <c r="F91" i="8"/>
  <c r="F90" i="8"/>
  <c r="F89" i="8"/>
  <c r="F88" i="8"/>
  <c r="F87" i="8"/>
  <c r="F86" i="8"/>
  <c r="F85" i="8"/>
  <c r="F84" i="8"/>
  <c r="F82" i="8"/>
  <c r="F81" i="8"/>
  <c r="F80" i="8"/>
  <c r="F79" i="8"/>
  <c r="F78" i="8"/>
  <c r="F76" i="8"/>
  <c r="F77" i="8" s="1"/>
  <c r="F74" i="8"/>
  <c r="F73" i="8"/>
  <c r="F72" i="8"/>
  <c r="F71" i="8"/>
  <c r="F70" i="8"/>
  <c r="F69" i="8"/>
  <c r="F67" i="8"/>
  <c r="F66" i="8"/>
  <c r="F64" i="8"/>
  <c r="F63" i="8"/>
  <c r="F59" i="8"/>
  <c r="F60" i="8" s="1"/>
  <c r="F61" i="8" s="1"/>
  <c r="F62" i="8" s="1"/>
  <c r="F57" i="8"/>
  <c r="F55" i="8"/>
  <c r="F54" i="8"/>
  <c r="F56" i="8" s="1"/>
  <c r="F53" i="8"/>
  <c r="F52" i="8"/>
  <c r="F50" i="8"/>
  <c r="F49" i="8"/>
  <c r="F48" i="8"/>
  <c r="F47" i="8"/>
  <c r="F46" i="8"/>
  <c r="F45" i="8"/>
  <c r="F44" i="8"/>
  <c r="F39" i="8"/>
  <c r="F38" i="8"/>
  <c r="F34" i="8"/>
  <c r="F33" i="8"/>
  <c r="F27" i="8"/>
  <c r="F25" i="8"/>
  <c r="F23" i="8"/>
  <c r="I5" i="8"/>
  <c r="F44" i="6"/>
  <c r="H44" i="6" s="1"/>
  <c r="H43" i="6"/>
  <c r="H41" i="6"/>
  <c r="H36" i="6"/>
  <c r="H35" i="6"/>
  <c r="H34" i="6"/>
  <c r="H27" i="6"/>
  <c r="H28" i="6"/>
  <c r="H26" i="6"/>
  <c r="H25" i="6"/>
  <c r="H19" i="6"/>
  <c r="H18" i="6"/>
  <c r="H13" i="6"/>
  <c r="H14" i="6" s="1"/>
  <c r="G307" i="8" s="1"/>
  <c r="H8" i="6"/>
  <c r="H7" i="6"/>
  <c r="D10" i="5"/>
  <c r="D12" i="5" s="1"/>
  <c r="D9" i="5"/>
  <c r="D11" i="5" s="1"/>
  <c r="D8" i="5"/>
  <c r="I24" i="4"/>
  <c r="B25" i="4" s="1"/>
  <c r="B23" i="4"/>
  <c r="B22" i="4"/>
  <c r="B21" i="4"/>
  <c r="B20" i="4"/>
  <c r="B19" i="4"/>
  <c r="B18" i="4"/>
  <c r="B17" i="4"/>
  <c r="H202" i="8" l="1"/>
  <c r="I202" i="8" s="1"/>
  <c r="H188" i="8"/>
  <c r="I188" i="8" s="1"/>
  <c r="H187" i="8"/>
  <c r="I187" i="8" s="1"/>
  <c r="H182" i="8"/>
  <c r="I182" i="8" s="1"/>
  <c r="H340" i="8"/>
  <c r="H338" i="8"/>
  <c r="I338" i="8" s="1"/>
  <c r="H334" i="8"/>
  <c r="I334" i="8" s="1"/>
  <c r="H347" i="8"/>
  <c r="I347" i="8" s="1"/>
  <c r="H337" i="8"/>
  <c r="I337" i="8" s="1"/>
  <c r="H342" i="8"/>
  <c r="I342" i="8" s="1"/>
  <c r="H336" i="8"/>
  <c r="I336" i="8" s="1"/>
  <c r="H344" i="8"/>
  <c r="I344" i="8" s="1"/>
  <c r="H339" i="8"/>
  <c r="I339" i="8" s="1"/>
  <c r="H335" i="8"/>
  <c r="I335" i="8" s="1"/>
  <c r="H345" i="8"/>
  <c r="I345" i="8" s="1"/>
  <c r="H346" i="8"/>
  <c r="I346" i="8" s="1"/>
  <c r="H341" i="8"/>
  <c r="I341" i="8" s="1"/>
  <c r="H343" i="8"/>
  <c r="I343" i="8" s="1"/>
  <c r="H174" i="8"/>
  <c r="I174" i="8" s="1"/>
  <c r="H170" i="8"/>
  <c r="I170" i="8" s="1"/>
  <c r="H175" i="8"/>
  <c r="I175" i="8" s="1"/>
  <c r="H176" i="8"/>
  <c r="I176" i="8" s="1"/>
  <c r="H177" i="8"/>
  <c r="I177" i="8" s="1"/>
  <c r="H178" i="8"/>
  <c r="I178" i="8" s="1"/>
  <c r="H179" i="8"/>
  <c r="I179" i="8" s="1"/>
  <c r="H180" i="8"/>
  <c r="I180" i="8" s="1"/>
  <c r="H181" i="8"/>
  <c r="I181" i="8" s="1"/>
  <c r="H171" i="8"/>
  <c r="I171" i="8" s="1"/>
  <c r="H173" i="8"/>
  <c r="I173" i="8" s="1"/>
  <c r="H172" i="8"/>
  <c r="I172" i="8" s="1"/>
  <c r="H132" i="8"/>
  <c r="I132" i="8" s="1"/>
  <c r="H135" i="8"/>
  <c r="I135" i="8" s="1"/>
  <c r="H134" i="8"/>
  <c r="I134" i="8" s="1"/>
  <c r="H133" i="8"/>
  <c r="I133" i="8" s="1"/>
  <c r="H136" i="8"/>
  <c r="I136" i="8" s="1"/>
  <c r="H126" i="8"/>
  <c r="I126" i="8" s="1"/>
  <c r="H122" i="8"/>
  <c r="I122" i="8" s="1"/>
  <c r="H121" i="8"/>
  <c r="I121" i="8" s="1"/>
  <c r="H125" i="8"/>
  <c r="I125" i="8" s="1"/>
  <c r="H124" i="8"/>
  <c r="I124" i="8" s="1"/>
  <c r="H120" i="8"/>
  <c r="I120" i="8" s="1"/>
  <c r="H123" i="8"/>
  <c r="I123" i="8" s="1"/>
  <c r="H119" i="8"/>
  <c r="I119" i="8" s="1"/>
  <c r="H17" i="8"/>
  <c r="I17" i="8" s="1"/>
  <c r="H106" i="8"/>
  <c r="I106" i="8" s="1"/>
  <c r="H108" i="8"/>
  <c r="I108" i="8" s="1"/>
  <c r="H107" i="8"/>
  <c r="I107" i="8" s="1"/>
  <c r="H109" i="8"/>
  <c r="I109" i="8" s="1"/>
  <c r="F268" i="8"/>
  <c r="H307" i="8"/>
  <c r="I307" i="8" s="1"/>
  <c r="H76" i="8"/>
  <c r="I76" i="8" s="1"/>
  <c r="H74" i="8"/>
  <c r="I74" i="8" s="1"/>
  <c r="H287" i="8"/>
  <c r="I287" i="8" s="1"/>
  <c r="H27" i="8"/>
  <c r="I27" i="8" s="1"/>
  <c r="H38" i="8"/>
  <c r="I38" i="8" s="1"/>
  <c r="H43" i="8"/>
  <c r="I43" i="8" s="1"/>
  <c r="H70" i="8"/>
  <c r="I70" i="8" s="1"/>
  <c r="H26" i="8"/>
  <c r="I26" i="8" s="1"/>
  <c r="H37" i="8"/>
  <c r="I37" i="8" s="1"/>
  <c r="H41" i="8"/>
  <c r="I41" i="8" s="1"/>
  <c r="H42" i="8"/>
  <c r="I42" i="8" s="1"/>
  <c r="H54" i="8"/>
  <c r="I54" i="8" s="1"/>
  <c r="H61" i="8"/>
  <c r="I61" i="8" s="1"/>
  <c r="H69" i="8"/>
  <c r="I69" i="8" s="1"/>
  <c r="H16" i="8"/>
  <c r="I16" i="8" s="1"/>
  <c r="H350" i="8"/>
  <c r="I350" i="8" s="1"/>
  <c r="G24" i="8"/>
  <c r="H24" i="8" s="1"/>
  <c r="I24" i="8" s="1"/>
  <c r="H25" i="8"/>
  <c r="I25" i="8" s="1"/>
  <c r="H36" i="8"/>
  <c r="I36" i="8" s="1"/>
  <c r="H49" i="8"/>
  <c r="I49" i="8" s="1"/>
  <c r="H50" i="8"/>
  <c r="I50" i="8" s="1"/>
  <c r="H53" i="8"/>
  <c r="I53" i="8" s="1"/>
  <c r="H60" i="8"/>
  <c r="I60" i="8" s="1"/>
  <c r="H14" i="8"/>
  <c r="I14" i="8" s="1"/>
  <c r="H23" i="8"/>
  <c r="I23" i="8" s="1"/>
  <c r="H35" i="8"/>
  <c r="I35" i="8" s="1"/>
  <c r="H48" i="8"/>
  <c r="I48" i="8" s="1"/>
  <c r="H52" i="8"/>
  <c r="I52" i="8" s="1"/>
  <c r="H59" i="8"/>
  <c r="I59" i="8" s="1"/>
  <c r="H66" i="8"/>
  <c r="I66" i="8" s="1"/>
  <c r="H68" i="8"/>
  <c r="I68" i="8" s="1"/>
  <c r="H13" i="8"/>
  <c r="I13" i="8" s="1"/>
  <c r="H21" i="8"/>
  <c r="I21" i="8" s="1"/>
  <c r="H22" i="8"/>
  <c r="I22" i="8" s="1"/>
  <c r="H34" i="8"/>
  <c r="I34" i="8" s="1"/>
  <c r="H47" i="8"/>
  <c r="I47" i="8" s="1"/>
  <c r="H57" i="8"/>
  <c r="I57" i="8" s="1"/>
  <c r="H64" i="8"/>
  <c r="I64" i="8" s="1"/>
  <c r="H67" i="8"/>
  <c r="I67" i="8" s="1"/>
  <c r="H12" i="8"/>
  <c r="I12" i="8" s="1"/>
  <c r="H30" i="8"/>
  <c r="H32" i="8"/>
  <c r="I32" i="8" s="1"/>
  <c r="H33" i="8"/>
  <c r="I33" i="8" s="1"/>
  <c r="H46" i="8"/>
  <c r="I46" i="8" s="1"/>
  <c r="H73" i="8"/>
  <c r="I73" i="8" s="1"/>
  <c r="H11" i="8"/>
  <c r="I11" i="8" s="1"/>
  <c r="H220" i="8"/>
  <c r="I220" i="8" s="1"/>
  <c r="H29" i="8"/>
  <c r="H45" i="8"/>
  <c r="I45" i="8" s="1"/>
  <c r="H56" i="8"/>
  <c r="I56" i="8" s="1"/>
  <c r="H63" i="8"/>
  <c r="I63" i="8" s="1"/>
  <c r="H72" i="8"/>
  <c r="I72" i="8" s="1"/>
  <c r="H96" i="8"/>
  <c r="I96" i="8" s="1"/>
  <c r="H111" i="8"/>
  <c r="I111" i="8" s="1"/>
  <c r="H195" i="8"/>
  <c r="I195" i="8" s="1"/>
  <c r="H377" i="8"/>
  <c r="I377" i="8" s="1"/>
  <c r="H28" i="8"/>
  <c r="H39" i="8"/>
  <c r="I39" i="8" s="1"/>
  <c r="H44" i="8"/>
  <c r="I44" i="8" s="1"/>
  <c r="H55" i="8"/>
  <c r="I55" i="8" s="1"/>
  <c r="H62" i="8"/>
  <c r="I62" i="8" s="1"/>
  <c r="H71" i="8"/>
  <c r="I71" i="8" s="1"/>
  <c r="H86" i="8"/>
  <c r="I86" i="8" s="1"/>
  <c r="H89" i="8"/>
  <c r="I89" i="8" s="1"/>
  <c r="H141" i="8"/>
  <c r="I141" i="8" s="1"/>
  <c r="H213" i="8"/>
  <c r="I213" i="8" s="1"/>
  <c r="H261" i="8"/>
  <c r="I261" i="8" s="1"/>
  <c r="H310" i="8"/>
  <c r="I310" i="8" s="1"/>
  <c r="H316" i="8"/>
  <c r="I316" i="8" s="1"/>
  <c r="F28" i="8"/>
  <c r="F29" i="8" s="1"/>
  <c r="F30" i="8" s="1"/>
  <c r="H80" i="8"/>
  <c r="I80" i="8" s="1"/>
  <c r="H104" i="8"/>
  <c r="I104" i="8" s="1"/>
  <c r="H113" i="8"/>
  <c r="I113" i="8" s="1"/>
  <c r="H129" i="8"/>
  <c r="I129" i="8" s="1"/>
  <c r="H145" i="8"/>
  <c r="I145" i="8" s="1"/>
  <c r="H183" i="8"/>
  <c r="I183" i="8" s="1"/>
  <c r="H200" i="8"/>
  <c r="I200" i="8" s="1"/>
  <c r="H225" i="8"/>
  <c r="I225" i="8" s="1"/>
  <c r="H233" i="8"/>
  <c r="I233" i="8" s="1"/>
  <c r="H238" i="8"/>
  <c r="I238" i="8" s="1"/>
  <c r="H272" i="8"/>
  <c r="I272" i="8" s="1"/>
  <c r="H326" i="8"/>
  <c r="I326" i="8" s="1"/>
  <c r="H359" i="8"/>
  <c r="I359" i="8" s="1"/>
  <c r="H373" i="8"/>
  <c r="I373" i="8" s="1"/>
  <c r="H398" i="8"/>
  <c r="I398" i="8" s="1"/>
  <c r="H85" i="8"/>
  <c r="I85" i="8" s="1"/>
  <c r="H90" i="8"/>
  <c r="I90" i="8" s="1"/>
  <c r="H97" i="8"/>
  <c r="I97" i="8" s="1"/>
  <c r="H149" i="8"/>
  <c r="I149" i="8" s="1"/>
  <c r="H204" i="8"/>
  <c r="I204" i="8" s="1"/>
  <c r="H230" i="8"/>
  <c r="I230" i="8" s="1"/>
  <c r="H243" i="8"/>
  <c r="I243" i="8" s="1"/>
  <c r="H281" i="8"/>
  <c r="I281" i="8" s="1"/>
  <c r="H368" i="8"/>
  <c r="I368" i="8" s="1"/>
  <c r="H393" i="8"/>
  <c r="I393" i="8" s="1"/>
  <c r="H400" i="8"/>
  <c r="I400" i="8" s="1"/>
  <c r="H15" i="8"/>
  <c r="I15" i="8" s="1"/>
  <c r="H10" i="8"/>
  <c r="I10" i="8" s="1"/>
  <c r="H79" i="8"/>
  <c r="I79" i="8" s="1"/>
  <c r="H103" i="8"/>
  <c r="I103" i="8" s="1"/>
  <c r="H131" i="8"/>
  <c r="I131" i="8" s="1"/>
  <c r="H157" i="8"/>
  <c r="I157" i="8" s="1"/>
  <c r="H163" i="8"/>
  <c r="I163" i="8" s="1"/>
  <c r="H169" i="8"/>
  <c r="I169" i="8" s="1"/>
  <c r="H191" i="8"/>
  <c r="I191" i="8" s="1"/>
  <c r="H209" i="8"/>
  <c r="I209" i="8" s="1"/>
  <c r="H216" i="8"/>
  <c r="I216" i="8" s="1"/>
  <c r="H294" i="8"/>
  <c r="I294" i="8" s="1"/>
  <c r="H319" i="8"/>
  <c r="I319" i="8" s="1"/>
  <c r="G92" i="8"/>
  <c r="H92" i="8" s="1"/>
  <c r="I92" i="8" s="1"/>
  <c r="H406" i="8"/>
  <c r="I406" i="8" s="1"/>
  <c r="H404" i="8"/>
  <c r="I404" i="8" s="1"/>
  <c r="H394" i="8"/>
  <c r="I394" i="8" s="1"/>
  <c r="H388" i="8"/>
  <c r="I388" i="8" s="1"/>
  <c r="H379" i="8"/>
  <c r="I379" i="8" s="1"/>
  <c r="H369" i="8"/>
  <c r="I369" i="8" s="1"/>
  <c r="H367" i="8"/>
  <c r="I367" i="8" s="1"/>
  <c r="H365" i="8"/>
  <c r="I365" i="8" s="1"/>
  <c r="H362" i="8"/>
  <c r="I362" i="8" s="1"/>
  <c r="H360" i="8"/>
  <c r="I360" i="8" s="1"/>
  <c r="H358" i="8"/>
  <c r="I358" i="8" s="1"/>
  <c r="H356" i="8"/>
  <c r="I356" i="8" s="1"/>
  <c r="H353" i="8"/>
  <c r="I353" i="8" s="1"/>
  <c r="H351" i="8"/>
  <c r="I351" i="8" s="1"/>
  <c r="H349" i="8"/>
  <c r="I349" i="8" s="1"/>
  <c r="H333" i="8"/>
  <c r="I333" i="8" s="1"/>
  <c r="H328" i="8"/>
  <c r="I328" i="8" s="1"/>
  <c r="H324" i="8"/>
  <c r="I324" i="8" s="1"/>
  <c r="H320" i="8"/>
  <c r="I320" i="8" s="1"/>
  <c r="H311" i="8"/>
  <c r="I311" i="8" s="1"/>
  <c r="H305" i="8"/>
  <c r="I305" i="8" s="1"/>
  <c r="H301" i="8"/>
  <c r="I301" i="8" s="1"/>
  <c r="H295" i="8"/>
  <c r="I295" i="8" s="1"/>
  <c r="I291" i="8"/>
  <c r="H289" i="8"/>
  <c r="I289" i="8" s="1"/>
  <c r="H285" i="8"/>
  <c r="I285" i="8" s="1"/>
  <c r="H279" i="8"/>
  <c r="I279" i="8" s="1"/>
  <c r="H273" i="8"/>
  <c r="I273" i="8" s="1"/>
  <c r="H267" i="8"/>
  <c r="I267" i="8" s="1"/>
  <c r="H263" i="8"/>
  <c r="I263" i="8" s="1"/>
  <c r="H257" i="8"/>
  <c r="I257" i="8" s="1"/>
  <c r="H253" i="8"/>
  <c r="I253" i="8" s="1"/>
  <c r="H248" i="8"/>
  <c r="I248" i="8" s="1"/>
  <c r="H244" i="8"/>
  <c r="I244" i="8" s="1"/>
  <c r="H240" i="8"/>
  <c r="I240" i="8" s="1"/>
  <c r="H232" i="8"/>
  <c r="I232" i="8" s="1"/>
  <c r="H397" i="8"/>
  <c r="I397" i="8" s="1"/>
  <c r="H395" i="8"/>
  <c r="I395" i="8" s="1"/>
  <c r="H389" i="8"/>
  <c r="I389" i="8" s="1"/>
  <c r="H380" i="8"/>
  <c r="I380" i="8" s="1"/>
  <c r="H376" i="8"/>
  <c r="I376" i="8" s="1"/>
  <c r="H374" i="8"/>
  <c r="I374" i="8" s="1"/>
  <c r="H329" i="8"/>
  <c r="I329" i="8" s="1"/>
  <c r="H325" i="8"/>
  <c r="I325" i="8" s="1"/>
  <c r="H321" i="8"/>
  <c r="I321" i="8" s="1"/>
  <c r="H317" i="8"/>
  <c r="I317" i="8" s="1"/>
  <c r="H312" i="8"/>
  <c r="I312" i="8" s="1"/>
  <c r="H306" i="8"/>
  <c r="I306" i="8" s="1"/>
  <c r="H302" i="8"/>
  <c r="I302" i="8" s="1"/>
  <c r="H296" i="8"/>
  <c r="I296" i="8" s="1"/>
  <c r="H292" i="8"/>
  <c r="I292" i="8" s="1"/>
  <c r="H286" i="8"/>
  <c r="I286" i="8" s="1"/>
  <c r="H280" i="8"/>
  <c r="I280" i="8" s="1"/>
  <c r="H274" i="8"/>
  <c r="I274" i="8" s="1"/>
  <c r="H270" i="8"/>
  <c r="I270" i="8" s="1"/>
  <c r="H268" i="8"/>
  <c r="H264" i="8"/>
  <c r="I264" i="8" s="1"/>
  <c r="H258" i="8"/>
  <c r="I258" i="8" s="1"/>
  <c r="H254" i="8"/>
  <c r="I254" i="8" s="1"/>
  <c r="H249" i="8"/>
  <c r="I249" i="8" s="1"/>
  <c r="H245" i="8"/>
  <c r="I245" i="8" s="1"/>
  <c r="H241" i="8"/>
  <c r="I241" i="8" s="1"/>
  <c r="H409" i="8"/>
  <c r="I409" i="8" s="1"/>
  <c r="I408" i="8" s="1"/>
  <c r="E15" i="5" s="1"/>
  <c r="Q15" i="5" s="1"/>
  <c r="H405" i="8"/>
  <c r="I405" i="8" s="1"/>
  <c r="H385" i="8"/>
  <c r="I385" i="8" s="1"/>
  <c r="H378" i="8"/>
  <c r="I378" i="8" s="1"/>
  <c r="H366" i="8"/>
  <c r="I366" i="8" s="1"/>
  <c r="H361" i="8"/>
  <c r="I361" i="8" s="1"/>
  <c r="H357" i="8"/>
  <c r="I357" i="8" s="1"/>
  <c r="H352" i="8"/>
  <c r="I352" i="8" s="1"/>
  <c r="H348" i="8"/>
  <c r="I348" i="8" s="1"/>
  <c r="H318" i="8"/>
  <c r="I318" i="8" s="1"/>
  <c r="H313" i="8"/>
  <c r="I313" i="8" s="1"/>
  <c r="H298" i="8"/>
  <c r="I298" i="8" s="1"/>
  <c r="H282" i="8"/>
  <c r="I282" i="8" s="1"/>
  <c r="H278" i="8"/>
  <c r="I278" i="8" s="1"/>
  <c r="H275" i="8"/>
  <c r="I275" i="8" s="1"/>
  <c r="H271" i="8"/>
  <c r="I271" i="8" s="1"/>
  <c r="H266" i="8"/>
  <c r="I266" i="8" s="1"/>
  <c r="H262" i="8"/>
  <c r="I262" i="8" s="1"/>
  <c r="H259" i="8"/>
  <c r="I259" i="8" s="1"/>
  <c r="H255" i="8"/>
  <c r="I255" i="8" s="1"/>
  <c r="H250" i="8"/>
  <c r="I250" i="8" s="1"/>
  <c r="H246" i="8"/>
  <c r="I246" i="8" s="1"/>
  <c r="H234" i="8"/>
  <c r="I234" i="8" s="1"/>
  <c r="H227" i="8"/>
  <c r="I227" i="8" s="1"/>
  <c r="H221" i="8"/>
  <c r="I221" i="8" s="1"/>
  <c r="H217" i="8"/>
  <c r="I217" i="8" s="1"/>
  <c r="H212" i="8"/>
  <c r="I212" i="8" s="1"/>
  <c r="H210" i="8"/>
  <c r="I210" i="8" s="1"/>
  <c r="H207" i="8"/>
  <c r="I207" i="8" s="1"/>
  <c r="H205" i="8"/>
  <c r="I205" i="8" s="1"/>
  <c r="H203" i="8"/>
  <c r="I203" i="8" s="1"/>
  <c r="H201" i="8"/>
  <c r="I201" i="8" s="1"/>
  <c r="H198" i="8"/>
  <c r="I198" i="8" s="1"/>
  <c r="H196" i="8"/>
  <c r="I196" i="8" s="1"/>
  <c r="H194" i="8"/>
  <c r="I194" i="8" s="1"/>
  <c r="H192" i="8"/>
  <c r="I192" i="8" s="1"/>
  <c r="H190" i="8"/>
  <c r="I190" i="8" s="1"/>
  <c r="H186" i="8"/>
  <c r="I186" i="8" s="1"/>
  <c r="H168" i="8"/>
  <c r="I168" i="8" s="1"/>
  <c r="H164" i="8"/>
  <c r="I164" i="8" s="1"/>
  <c r="H159" i="8"/>
  <c r="I159" i="8" s="1"/>
  <c r="H153" i="8"/>
  <c r="I153" i="8" s="1"/>
  <c r="H147" i="8"/>
  <c r="I147" i="8" s="1"/>
  <c r="H143" i="8"/>
  <c r="I143" i="8" s="1"/>
  <c r="H139" i="8"/>
  <c r="I139" i="8" s="1"/>
  <c r="H130" i="8"/>
  <c r="I130" i="8" s="1"/>
  <c r="H116" i="8"/>
  <c r="I116" i="8" s="1"/>
  <c r="H114" i="8"/>
  <c r="I114" i="8" s="1"/>
  <c r="H402" i="8"/>
  <c r="I402" i="8" s="1"/>
  <c r="H396" i="8"/>
  <c r="I396" i="8" s="1"/>
  <c r="H391" i="8"/>
  <c r="I391" i="8" s="1"/>
  <c r="H387" i="8"/>
  <c r="I387" i="8" s="1"/>
  <c r="H331" i="8"/>
  <c r="I331" i="8" s="1"/>
  <c r="H327" i="8"/>
  <c r="I327" i="8" s="1"/>
  <c r="H322" i="8"/>
  <c r="I322" i="8" s="1"/>
  <c r="H308" i="8"/>
  <c r="I308" i="8" s="1"/>
  <c r="H304" i="8"/>
  <c r="I304" i="8" s="1"/>
  <c r="H300" i="8"/>
  <c r="I300" i="8" s="1"/>
  <c r="H297" i="8"/>
  <c r="I297" i="8" s="1"/>
  <c r="H293" i="8"/>
  <c r="I293" i="8" s="1"/>
  <c r="H288" i="8"/>
  <c r="I288" i="8" s="1"/>
  <c r="H284" i="8"/>
  <c r="I284" i="8" s="1"/>
  <c r="H239" i="8"/>
  <c r="I239" i="8" s="1"/>
  <c r="H228" i="8"/>
  <c r="I228" i="8" s="1"/>
  <c r="H223" i="8"/>
  <c r="I223" i="8" s="1"/>
  <c r="H218" i="8"/>
  <c r="I218" i="8" s="1"/>
  <c r="H184" i="8"/>
  <c r="I184" i="8" s="1"/>
  <c r="H165" i="8"/>
  <c r="I165" i="8" s="1"/>
  <c r="H161" i="8"/>
  <c r="I161" i="8" s="1"/>
  <c r="H156" i="8"/>
  <c r="I156" i="8" s="1"/>
  <c r="H154" i="8"/>
  <c r="I154" i="8" s="1"/>
  <c r="H148" i="8"/>
  <c r="I148" i="8" s="1"/>
  <c r="H144" i="8"/>
  <c r="I144" i="8" s="1"/>
  <c r="H140" i="8"/>
  <c r="I140" i="8" s="1"/>
  <c r="H118" i="8"/>
  <c r="I118" i="8" s="1"/>
  <c r="H78" i="8"/>
  <c r="I78" i="8" s="1"/>
  <c r="H82" i="8"/>
  <c r="I82" i="8" s="1"/>
  <c r="H84" i="8"/>
  <c r="I84" i="8" s="1"/>
  <c r="H88" i="8"/>
  <c r="I88" i="8" s="1"/>
  <c r="H93" i="8"/>
  <c r="I93" i="8" s="1"/>
  <c r="H95" i="8"/>
  <c r="I95" i="8" s="1"/>
  <c r="H102" i="8"/>
  <c r="I102" i="8" s="1"/>
  <c r="H152" i="8"/>
  <c r="I152" i="8" s="1"/>
  <c r="H162" i="8"/>
  <c r="I162" i="8" s="1"/>
  <c r="H166" i="8"/>
  <c r="I166" i="8" s="1"/>
  <c r="H185" i="8"/>
  <c r="I185" i="8" s="1"/>
  <c r="H189" i="8"/>
  <c r="I189" i="8" s="1"/>
  <c r="H193" i="8"/>
  <c r="I193" i="8" s="1"/>
  <c r="H197" i="8"/>
  <c r="I197" i="8" s="1"/>
  <c r="H206" i="8"/>
  <c r="I206" i="8" s="1"/>
  <c r="H211" i="8"/>
  <c r="I211" i="8" s="1"/>
  <c r="H219" i="8"/>
  <c r="I219" i="8" s="1"/>
  <c r="H224" i="8"/>
  <c r="I224" i="8" s="1"/>
  <c r="H229" i="8"/>
  <c r="I229" i="8" s="1"/>
  <c r="H247" i="8"/>
  <c r="I247" i="8" s="1"/>
  <c r="H277" i="8"/>
  <c r="I277" i="8" s="1"/>
  <c r="H354" i="8"/>
  <c r="I354" i="8" s="1"/>
  <c r="H363" i="8"/>
  <c r="I363" i="8" s="1"/>
  <c r="H381" i="8"/>
  <c r="I381" i="8" s="1"/>
  <c r="H384" i="8"/>
  <c r="I384" i="8" s="1"/>
  <c r="H390" i="8"/>
  <c r="I390" i="8" s="1"/>
  <c r="H407" i="8"/>
  <c r="I407" i="8" s="1"/>
  <c r="H77" i="8"/>
  <c r="I77" i="8" s="1"/>
  <c r="H81" i="8"/>
  <c r="I81" i="8" s="1"/>
  <c r="H87" i="8"/>
  <c r="I87" i="8" s="1"/>
  <c r="H91" i="8"/>
  <c r="I91" i="8" s="1"/>
  <c r="H98" i="8"/>
  <c r="I98" i="8" s="1"/>
  <c r="H101" i="8"/>
  <c r="I101" i="8" s="1"/>
  <c r="H110" i="8"/>
  <c r="I110" i="8" s="1"/>
  <c r="H115" i="8"/>
  <c r="I115" i="8" s="1"/>
  <c r="H128" i="8"/>
  <c r="I128" i="8" s="1"/>
  <c r="H138" i="8"/>
  <c r="I138" i="8" s="1"/>
  <c r="H142" i="8"/>
  <c r="I142" i="8" s="1"/>
  <c r="H146" i="8"/>
  <c r="I146" i="8" s="1"/>
  <c r="H150" i="8"/>
  <c r="I150" i="8" s="1"/>
  <c r="H155" i="8"/>
  <c r="I155" i="8" s="1"/>
  <c r="H235" i="8"/>
  <c r="I235" i="8" s="1"/>
  <c r="H242" i="8"/>
  <c r="I242" i="8" s="1"/>
  <c r="H252" i="8"/>
  <c r="I252" i="8" s="1"/>
  <c r="H256" i="8"/>
  <c r="I256" i="8" s="1"/>
  <c r="H265" i="8"/>
  <c r="I265" i="8" s="1"/>
  <c r="H303" i="8"/>
  <c r="I303" i="8" s="1"/>
  <c r="H330" i="8"/>
  <c r="I330" i="8" s="1"/>
  <c r="H403" i="8"/>
  <c r="I403" i="8" s="1"/>
  <c r="H383" i="8"/>
  <c r="I383" i="8" s="1"/>
  <c r="H45" i="6"/>
  <c r="H37" i="6"/>
  <c r="H29" i="6"/>
  <c r="H21" i="6"/>
  <c r="H9" i="6"/>
  <c r="D13" i="5"/>
  <c r="D15" i="5"/>
  <c r="D14" i="5"/>
  <c r="I268" i="8" l="1"/>
  <c r="I236" i="8" s="1"/>
  <c r="E11" i="5" s="1"/>
  <c r="I28" i="8"/>
  <c r="I30" i="8"/>
  <c r="I29" i="8"/>
  <c r="L15" i="5"/>
  <c r="G399" i="8"/>
  <c r="H399" i="8" s="1"/>
  <c r="I399" i="8" s="1"/>
  <c r="G372" i="8"/>
  <c r="H372" i="8" s="1"/>
  <c r="I372" i="8" s="1"/>
  <c r="G112" i="8"/>
  <c r="H112" i="8" s="1"/>
  <c r="I112" i="8" s="1"/>
  <c r="G18" i="8"/>
  <c r="H18" i="8" s="1"/>
  <c r="I18" i="8" s="1"/>
  <c r="I9" i="8" s="1"/>
  <c r="H781" i="1"/>
  <c r="H780" i="1"/>
  <c r="H768" i="1"/>
  <c r="H769" i="1"/>
  <c r="H770" i="1"/>
  <c r="H771" i="1"/>
  <c r="H772" i="1"/>
  <c r="H773" i="1"/>
  <c r="H774" i="1"/>
  <c r="H775" i="1"/>
  <c r="H776" i="1"/>
  <c r="H777" i="1"/>
  <c r="H778" i="1"/>
  <c r="H779" i="1"/>
  <c r="H767" i="1"/>
  <c r="E546" i="1"/>
  <c r="E545" i="1"/>
  <c r="E541" i="1"/>
  <c r="E537" i="1"/>
  <c r="D303" i="1"/>
  <c r="D302" i="1"/>
  <c r="I19" i="8" l="1"/>
  <c r="E9" i="5" s="1"/>
  <c r="I370" i="8"/>
  <c r="E13" i="5" s="1"/>
  <c r="E7" i="5"/>
  <c r="H307" i="1"/>
  <c r="H308" i="1"/>
  <c r="H309" i="1"/>
  <c r="H310" i="1"/>
  <c r="H311" i="1"/>
  <c r="H312" i="1"/>
  <c r="H313" i="1"/>
  <c r="H314" i="1"/>
  <c r="H315" i="1"/>
  <c r="H316" i="1"/>
  <c r="H306" i="1"/>
  <c r="B902" i="1"/>
  <c r="B898" i="1"/>
  <c r="B899" i="1" s="1"/>
  <c r="B900" i="1" s="1"/>
  <c r="C892" i="1"/>
  <c r="C893" i="1"/>
  <c r="A891" i="1"/>
  <c r="C891" i="1" s="1"/>
  <c r="B910" i="1"/>
  <c r="C884" i="1"/>
  <c r="I410" i="8" l="1"/>
  <c r="E17" i="5"/>
  <c r="C894" i="1"/>
  <c r="B897" i="1" s="1"/>
  <c r="H317" i="1"/>
  <c r="C842" i="1"/>
  <c r="C841" i="1"/>
  <c r="B825" i="1"/>
  <c r="B818" i="1"/>
  <c r="F763" i="1"/>
  <c r="D786" i="1" s="1"/>
  <c r="A798" i="1"/>
  <c r="D798" i="1" s="1"/>
  <c r="C356" i="1"/>
  <c r="C813" i="1"/>
  <c r="D810" i="1"/>
  <c r="D791" i="1"/>
  <c r="D792" i="1"/>
  <c r="D799" i="1"/>
  <c r="F762" i="1"/>
  <c r="D809" i="1"/>
  <c r="D808" i="1"/>
  <c r="D807" i="1"/>
  <c r="D806" i="1"/>
  <c r="D805" i="1"/>
  <c r="D804" i="1"/>
  <c r="D797" i="1"/>
  <c r="F779" i="1"/>
  <c r="F778" i="1"/>
  <c r="B594" i="1"/>
  <c r="C594" i="1" s="1"/>
  <c r="C722" i="1"/>
  <c r="B716" i="1"/>
  <c r="C716" i="1" s="1"/>
  <c r="B715" i="1"/>
  <c r="F777" i="1"/>
  <c r="F776" i="1"/>
  <c r="F775" i="1"/>
  <c r="F774" i="1"/>
  <c r="F773" i="1"/>
  <c r="F772" i="1"/>
  <c r="F771" i="1"/>
  <c r="F770" i="1"/>
  <c r="F769" i="1"/>
  <c r="F768" i="1"/>
  <c r="F767" i="1"/>
  <c r="F761" i="1"/>
  <c r="F760" i="1"/>
  <c r="F759" i="1"/>
  <c r="F758" i="1"/>
  <c r="F757" i="1"/>
  <c r="F756" i="1"/>
  <c r="F755" i="1"/>
  <c r="F754" i="1"/>
  <c r="F753" i="1"/>
  <c r="F752" i="1"/>
  <c r="F751" i="1"/>
  <c r="F750" i="1"/>
  <c r="C729" i="1"/>
  <c r="D717" i="1"/>
  <c r="E717" i="1" s="1"/>
  <c r="C717" i="1"/>
  <c r="D716" i="1"/>
  <c r="D715" i="1"/>
  <c r="D665" i="1"/>
  <c r="D666" i="1"/>
  <c r="D667" i="1"/>
  <c r="D668" i="1"/>
  <c r="D669" i="1"/>
  <c r="D670" i="1"/>
  <c r="D671" i="1"/>
  <c r="D672" i="1"/>
  <c r="D673" i="1"/>
  <c r="D674" i="1"/>
  <c r="D675" i="1"/>
  <c r="D676" i="1"/>
  <c r="D677" i="1"/>
  <c r="D678" i="1"/>
  <c r="D679" i="1"/>
  <c r="D680" i="1"/>
  <c r="D681" i="1"/>
  <c r="D682" i="1"/>
  <c r="D683" i="1"/>
  <c r="D684" i="1"/>
  <c r="D685" i="1"/>
  <c r="D686" i="1"/>
  <c r="D687" i="1"/>
  <c r="D688" i="1"/>
  <c r="D689" i="1"/>
  <c r="D690" i="1"/>
  <c r="D691" i="1"/>
  <c r="D692" i="1"/>
  <c r="D693" i="1"/>
  <c r="D694" i="1"/>
  <c r="D695" i="1"/>
  <c r="D696" i="1"/>
  <c r="D697" i="1"/>
  <c r="D664" i="1"/>
  <c r="C708" i="1"/>
  <c r="E655" i="1"/>
  <c r="E654" i="1"/>
  <c r="E653" i="1"/>
  <c r="E652" i="1"/>
  <c r="E651" i="1"/>
  <c r="F649" i="1"/>
  <c r="F650" i="1" s="1"/>
  <c r="E649" i="1"/>
  <c r="E650" i="1"/>
  <c r="F644" i="1"/>
  <c r="F641" i="1"/>
  <c r="E641" i="1"/>
  <c r="E642" i="1"/>
  <c r="E643" i="1"/>
  <c r="G643" i="1" s="1"/>
  <c r="E644" i="1"/>
  <c r="E645" i="1"/>
  <c r="G645" i="1" s="1"/>
  <c r="E646" i="1"/>
  <c r="E647" i="1"/>
  <c r="E648" i="1"/>
  <c r="E640" i="1"/>
  <c r="G640" i="1" s="1"/>
  <c r="C626" i="1"/>
  <c r="C619" i="1"/>
  <c r="C620" i="1"/>
  <c r="C621" i="1"/>
  <c r="C622" i="1"/>
  <c r="C623" i="1"/>
  <c r="C624" i="1"/>
  <c r="C625" i="1"/>
  <c r="C616" i="1"/>
  <c r="C617" i="1"/>
  <c r="C618" i="1"/>
  <c r="C615" i="1"/>
  <c r="C614" i="1"/>
  <c r="C613" i="1"/>
  <c r="C612" i="1"/>
  <c r="C611" i="1"/>
  <c r="C627" i="1"/>
  <c r="A633" i="1" s="1"/>
  <c r="C610" i="1"/>
  <c r="C609" i="1"/>
  <c r="C608" i="1"/>
  <c r="C607" i="1"/>
  <c r="C606" i="1"/>
  <c r="C605" i="1"/>
  <c r="C597" i="1"/>
  <c r="C590" i="1"/>
  <c r="C591" i="1"/>
  <c r="C592" i="1"/>
  <c r="C593" i="1"/>
  <c r="C595" i="1"/>
  <c r="C596" i="1"/>
  <c r="C559" i="1"/>
  <c r="C560" i="1"/>
  <c r="C561" i="1"/>
  <c r="C562" i="1"/>
  <c r="C563" i="1"/>
  <c r="C564" i="1"/>
  <c r="C565" i="1"/>
  <c r="C566" i="1"/>
  <c r="C567" i="1"/>
  <c r="C568" i="1"/>
  <c r="C569" i="1"/>
  <c r="C589" i="1"/>
  <c r="A582" i="1"/>
  <c r="F582" i="1" s="1"/>
  <c r="C558" i="1"/>
  <c r="A554" i="1"/>
  <c r="B577" i="1" s="1"/>
  <c r="E551" i="1"/>
  <c r="D551" i="1"/>
  <c r="B533" i="1"/>
  <c r="D497" i="1"/>
  <c r="D498" i="1"/>
  <c r="D501" i="1"/>
  <c r="D502" i="1"/>
  <c r="D503" i="1"/>
  <c r="D496" i="1"/>
  <c r="B540" i="1"/>
  <c r="E540" i="1" s="1"/>
  <c r="B539" i="1"/>
  <c r="E539" i="1" s="1"/>
  <c r="B538" i="1"/>
  <c r="E538" i="1" s="1"/>
  <c r="B504" i="1"/>
  <c r="B505" i="1" s="1"/>
  <c r="B506" i="1" s="1"/>
  <c r="B507" i="1" s="1"/>
  <c r="B508" i="1" s="1"/>
  <c r="B509" i="1" s="1"/>
  <c r="B510" i="1" s="1"/>
  <c r="B511" i="1" s="1"/>
  <c r="B512" i="1" s="1"/>
  <c r="B513" i="1" s="1"/>
  <c r="B514" i="1" s="1"/>
  <c r="B515" i="1" s="1"/>
  <c r="B516" i="1" s="1"/>
  <c r="B517" i="1" s="1"/>
  <c r="B518" i="1" s="1"/>
  <c r="D518" i="1" s="1"/>
  <c r="B499" i="1"/>
  <c r="B500" i="1" s="1"/>
  <c r="D500" i="1" s="1"/>
  <c r="C489" i="1"/>
  <c r="C482" i="1"/>
  <c r="C483" i="1"/>
  <c r="C484" i="1"/>
  <c r="C485" i="1"/>
  <c r="C486" i="1"/>
  <c r="C477" i="1"/>
  <c r="B478" i="1"/>
  <c r="C478" i="1" s="1"/>
  <c r="A444" i="1"/>
  <c r="A447" i="1" s="1"/>
  <c r="A459" i="1" s="1"/>
  <c r="F459" i="1" s="1"/>
  <c r="C451" i="1"/>
  <c r="C364" i="1"/>
  <c r="E362" i="1"/>
  <c r="D362" i="1"/>
  <c r="C409" i="1"/>
  <c r="E407" i="1"/>
  <c r="D407" i="1"/>
  <c r="C391" i="1"/>
  <c r="C392" i="1"/>
  <c r="B375" i="1"/>
  <c r="C370" i="1"/>
  <c r="F316" i="1"/>
  <c r="D349" i="1"/>
  <c r="D350" i="1"/>
  <c r="D351" i="1"/>
  <c r="D352" i="1"/>
  <c r="D353" i="1"/>
  <c r="D348" i="1"/>
  <c r="D327" i="1"/>
  <c r="D336" i="1"/>
  <c r="B337" i="1"/>
  <c r="B338" i="1" s="1"/>
  <c r="D338" i="1" s="1"/>
  <c r="B328" i="1"/>
  <c r="B329" i="1" s="1"/>
  <c r="B330" i="1" s="1"/>
  <c r="B331" i="1" s="1"/>
  <c r="D331" i="1" s="1"/>
  <c r="F300" i="1"/>
  <c r="F301" i="1"/>
  <c r="F299" i="1"/>
  <c r="F298" i="1"/>
  <c r="F297" i="1"/>
  <c r="F296" i="1"/>
  <c r="F295" i="1"/>
  <c r="F294" i="1"/>
  <c r="F293" i="1"/>
  <c r="F292" i="1"/>
  <c r="F291" i="1"/>
  <c r="F290" i="1"/>
  <c r="F307" i="1"/>
  <c r="F308" i="1"/>
  <c r="F309" i="1"/>
  <c r="F310" i="1"/>
  <c r="F311" i="1"/>
  <c r="F312" i="1"/>
  <c r="F313" i="1"/>
  <c r="F314" i="1"/>
  <c r="F315" i="1"/>
  <c r="F306" i="1"/>
  <c r="C267" i="1"/>
  <c r="C268" i="1"/>
  <c r="C269" i="1"/>
  <c r="C266" i="1"/>
  <c r="C240" i="1"/>
  <c r="D228" i="1"/>
  <c r="E228" i="1" s="1"/>
  <c r="D229" i="1"/>
  <c r="E229" i="1" s="1"/>
  <c r="D230" i="1"/>
  <c r="E230" i="1" s="1"/>
  <c r="D231" i="1"/>
  <c r="E231" i="1" s="1"/>
  <c r="D233" i="1"/>
  <c r="E233" i="1" s="1"/>
  <c r="D234" i="1"/>
  <c r="E234" i="1" s="1"/>
  <c r="D227" i="1"/>
  <c r="E227" i="1" s="1"/>
  <c r="C233" i="1"/>
  <c r="C234" i="1"/>
  <c r="C257" i="1"/>
  <c r="C258" i="1" s="1"/>
  <c r="C260" i="1" s="1"/>
  <c r="C228" i="1"/>
  <c r="C229" i="1"/>
  <c r="C230" i="1"/>
  <c r="C231" i="1"/>
  <c r="C227" i="1"/>
  <c r="A232" i="1"/>
  <c r="C232" i="1" s="1"/>
  <c r="C180" i="1"/>
  <c r="C179" i="1"/>
  <c r="C178" i="1"/>
  <c r="C177" i="1"/>
  <c r="C176" i="1"/>
  <c r="C175" i="1"/>
  <c r="C174" i="1"/>
  <c r="C173" i="1"/>
  <c r="C172" i="1"/>
  <c r="C171" i="1"/>
  <c r="C170" i="1"/>
  <c r="C169" i="1"/>
  <c r="C168" i="1"/>
  <c r="C167" i="1"/>
  <c r="C166" i="1"/>
  <c r="C162" i="1"/>
  <c r="C163" i="1"/>
  <c r="C164" i="1"/>
  <c r="C165" i="1"/>
  <c r="C161" i="1"/>
  <c r="C160" i="1"/>
  <c r="E213" i="1"/>
  <c r="G213" i="1" s="1"/>
  <c r="E212" i="1"/>
  <c r="G212" i="1" s="1"/>
  <c r="E211" i="1"/>
  <c r="G211" i="1" s="1"/>
  <c r="E210" i="1"/>
  <c r="G210" i="1" s="1"/>
  <c r="E209" i="1"/>
  <c r="G209" i="1" s="1"/>
  <c r="E208" i="1"/>
  <c r="G208" i="1" s="1"/>
  <c r="E207" i="1"/>
  <c r="G207" i="1" s="1"/>
  <c r="E206" i="1"/>
  <c r="G206" i="1" s="1"/>
  <c r="E204" i="1"/>
  <c r="G204" i="1" s="1"/>
  <c r="E203" i="1"/>
  <c r="G203" i="1" s="1"/>
  <c r="C205" i="1"/>
  <c r="E205" i="1" s="1"/>
  <c r="G205" i="1" s="1"/>
  <c r="C202" i="1"/>
  <c r="E202" i="1" s="1"/>
  <c r="G202" i="1" s="1"/>
  <c r="E201" i="1"/>
  <c r="G201" i="1" s="1"/>
  <c r="E200" i="1"/>
  <c r="G200" i="1" s="1"/>
  <c r="E199" i="1"/>
  <c r="G199" i="1" s="1"/>
  <c r="E197" i="1"/>
  <c r="G197" i="1" s="1"/>
  <c r="E198" i="1"/>
  <c r="G198" i="1" s="1"/>
  <c r="E196" i="1"/>
  <c r="G196" i="1" s="1"/>
  <c r="E195" i="1"/>
  <c r="G195" i="1" s="1"/>
  <c r="E194" i="1"/>
  <c r="G194" i="1" s="1"/>
  <c r="C115" i="1"/>
  <c r="C116" i="1"/>
  <c r="C117" i="1"/>
  <c r="C118" i="1"/>
  <c r="C119" i="1"/>
  <c r="C120" i="1"/>
  <c r="C121" i="1"/>
  <c r="C122" i="1"/>
  <c r="C123" i="1"/>
  <c r="C124" i="1"/>
  <c r="C125" i="1"/>
  <c r="C126" i="1"/>
  <c r="C127" i="1"/>
  <c r="C128" i="1"/>
  <c r="C129" i="1"/>
  <c r="C130" i="1"/>
  <c r="C131" i="1"/>
  <c r="C132" i="1"/>
  <c r="C133" i="1"/>
  <c r="C134" i="1"/>
  <c r="C135" i="1"/>
  <c r="C136" i="1"/>
  <c r="C137" i="1"/>
  <c r="C138" i="1"/>
  <c r="C139" i="1"/>
  <c r="C140" i="1"/>
  <c r="C141" i="1"/>
  <c r="C142" i="1"/>
  <c r="C143" i="1"/>
  <c r="C144" i="1"/>
  <c r="C145" i="1"/>
  <c r="C146" i="1"/>
  <c r="C147" i="1"/>
  <c r="C148" i="1"/>
  <c r="C149" i="1"/>
  <c r="C150" i="1"/>
  <c r="C151" i="1"/>
  <c r="C152" i="1"/>
  <c r="C153" i="1"/>
  <c r="C154" i="1"/>
  <c r="C155" i="1"/>
  <c r="C156" i="1"/>
  <c r="C157" i="1"/>
  <c r="C158" i="1"/>
  <c r="C114" i="1"/>
  <c r="H105" i="1"/>
  <c r="H106" i="1"/>
  <c r="H104" i="1"/>
  <c r="C72" i="1"/>
  <c r="C73" i="1"/>
  <c r="C74" i="1"/>
  <c r="C75" i="1"/>
  <c r="C76" i="1"/>
  <c r="C77" i="1"/>
  <c r="C78" i="1"/>
  <c r="C79" i="1"/>
  <c r="C80" i="1"/>
  <c r="C81" i="1"/>
  <c r="C82" i="1"/>
  <c r="C83" i="1"/>
  <c r="C84" i="1"/>
  <c r="C85" i="1"/>
  <c r="C86" i="1"/>
  <c r="C87" i="1"/>
  <c r="C88" i="1"/>
  <c r="C89" i="1"/>
  <c r="C90" i="1"/>
  <c r="C91" i="1"/>
  <c r="C92" i="1"/>
  <c r="C93" i="1"/>
  <c r="C94" i="1"/>
  <c r="C95" i="1"/>
  <c r="C96" i="1"/>
  <c r="C71" i="1"/>
  <c r="C47" i="1"/>
  <c r="E106" i="1"/>
  <c r="F106" i="1"/>
  <c r="G106" i="1" s="1"/>
  <c r="E105" i="1"/>
  <c r="F105" i="1"/>
  <c r="G105" i="1" s="1"/>
  <c r="F104" i="1"/>
  <c r="G104" i="1" s="1"/>
  <c r="E104" i="1"/>
  <c r="A64" i="1"/>
  <c r="F64" i="1" s="1"/>
  <c r="C14" i="1"/>
  <c r="C15" i="1"/>
  <c r="C16" i="1"/>
  <c r="C17" i="1"/>
  <c r="C18" i="1"/>
  <c r="C19" i="1"/>
  <c r="C20" i="1"/>
  <c r="C21" i="1"/>
  <c r="C22" i="1"/>
  <c r="C23" i="1"/>
  <c r="C24" i="1"/>
  <c r="C25" i="1"/>
  <c r="C26" i="1"/>
  <c r="C27" i="1"/>
  <c r="C28" i="1"/>
  <c r="C29" i="1"/>
  <c r="C30" i="1"/>
  <c r="C31" i="1"/>
  <c r="C32" i="1"/>
  <c r="C33" i="1"/>
  <c r="C34" i="1"/>
  <c r="C35" i="1"/>
  <c r="C36" i="1"/>
  <c r="C37" i="1"/>
  <c r="C38" i="1"/>
  <c r="C39" i="1"/>
  <c r="C40" i="1"/>
  <c r="C41" i="1"/>
  <c r="C42" i="1"/>
  <c r="C43" i="1"/>
  <c r="C44" i="1"/>
  <c r="C45" i="1"/>
  <c r="C46" i="1"/>
  <c r="C48" i="1"/>
  <c r="C49" i="1"/>
  <c r="C50" i="1"/>
  <c r="C51" i="1"/>
  <c r="C13" i="1"/>
  <c r="A9" i="1"/>
  <c r="E9" i="1" s="1"/>
  <c r="E6" i="1"/>
  <c r="D6" i="1"/>
  <c r="N7" i="5" l="1"/>
  <c r="F7" i="5"/>
  <c r="M7" i="5"/>
  <c r="L7" i="5"/>
  <c r="J7" i="5"/>
  <c r="K7" i="5"/>
  <c r="Q7" i="5"/>
  <c r="I7" i="5"/>
  <c r="O7" i="5"/>
  <c r="P7" i="5"/>
  <c r="H7" i="5"/>
  <c r="G7" i="5"/>
  <c r="G459" i="1"/>
  <c r="F407" i="1"/>
  <c r="G582" i="1"/>
  <c r="C411" i="1"/>
  <c r="F551" i="1"/>
  <c r="G551" i="1" s="1"/>
  <c r="F362" i="1"/>
  <c r="C181" i="1"/>
  <c r="E302" i="1"/>
  <c r="E303" i="1"/>
  <c r="F6" i="1"/>
  <c r="G64" i="1"/>
  <c r="C261" i="1"/>
  <c r="D811" i="1"/>
  <c r="E716" i="1"/>
  <c r="D782" i="1"/>
  <c r="D784" i="1"/>
  <c r="D783" i="1"/>
  <c r="C730" i="1"/>
  <c r="B733" i="1" s="1"/>
  <c r="D785" i="1"/>
  <c r="C715" i="1"/>
  <c r="C718" i="1" s="1"/>
  <c r="C720" i="1" s="1"/>
  <c r="E715" i="1"/>
  <c r="D698" i="1"/>
  <c r="G649" i="1"/>
  <c r="G650" i="1"/>
  <c r="F651" i="1"/>
  <c r="G641" i="1"/>
  <c r="F642" i="1"/>
  <c r="G644" i="1"/>
  <c r="C628" i="1"/>
  <c r="A632" i="1" s="1"/>
  <c r="C632" i="1" s="1"/>
  <c r="C633" i="1"/>
  <c r="F589" i="1"/>
  <c r="D510" i="1"/>
  <c r="D509" i="1"/>
  <c r="G554" i="1"/>
  <c r="C570" i="1"/>
  <c r="H554" i="1"/>
  <c r="I554" i="1" s="1"/>
  <c r="C598" i="1"/>
  <c r="E582" i="1"/>
  <c r="E554" i="1"/>
  <c r="F554" i="1"/>
  <c r="D508" i="1"/>
  <c r="D506" i="1"/>
  <c r="D517" i="1"/>
  <c r="D516" i="1"/>
  <c r="D514" i="1"/>
  <c r="D515" i="1"/>
  <c r="D507" i="1"/>
  <c r="D499" i="1"/>
  <c r="D513" i="1"/>
  <c r="D505" i="1"/>
  <c r="D512" i="1"/>
  <c r="D504" i="1"/>
  <c r="D511" i="1"/>
  <c r="B479" i="1"/>
  <c r="E459" i="1"/>
  <c r="C452" i="1"/>
  <c r="C455" i="1" s="1"/>
  <c r="A467" i="1" s="1"/>
  <c r="F447" i="1"/>
  <c r="H447" i="1"/>
  <c r="I447" i="1" s="1"/>
  <c r="G447" i="1"/>
  <c r="E447" i="1"/>
  <c r="D444" i="1"/>
  <c r="E444" i="1"/>
  <c r="D319" i="1"/>
  <c r="D320" i="1"/>
  <c r="D329" i="1"/>
  <c r="D330" i="1"/>
  <c r="D328" i="1"/>
  <c r="D354" i="1"/>
  <c r="B339" i="1"/>
  <c r="D337" i="1"/>
  <c r="D322" i="1"/>
  <c r="D321" i="1"/>
  <c r="B59" i="1"/>
  <c r="C270" i="1"/>
  <c r="B272" i="1" s="1"/>
  <c r="C239" i="1"/>
  <c r="D232" i="1"/>
  <c r="E232" i="1" s="1"/>
  <c r="E235" i="1" s="1"/>
  <c r="C238" i="1" s="1"/>
  <c r="C235" i="1"/>
  <c r="C237" i="1" s="1"/>
  <c r="A187" i="1"/>
  <c r="C187" i="1" s="1"/>
  <c r="G214" i="1"/>
  <c r="B217" i="1" s="1"/>
  <c r="H107" i="1"/>
  <c r="C159" i="1"/>
  <c r="A185" i="1" s="1"/>
  <c r="F71" i="1"/>
  <c r="C97" i="1"/>
  <c r="A100" i="1" s="1"/>
  <c r="C100" i="1" s="1"/>
  <c r="G107" i="1"/>
  <c r="E107" i="1"/>
  <c r="F107" i="1"/>
  <c r="C52" i="1"/>
  <c r="C55" i="1" s="1"/>
  <c r="E64" i="1"/>
  <c r="F9" i="1"/>
  <c r="G9" i="1"/>
  <c r="H9" i="1"/>
  <c r="I9" i="1" s="1"/>
  <c r="N13" i="5" l="1"/>
  <c r="M13" i="5"/>
  <c r="L13" i="5"/>
  <c r="O13" i="5"/>
  <c r="K13" i="5"/>
  <c r="Q13" i="5"/>
  <c r="P13" i="5"/>
  <c r="J13" i="5"/>
  <c r="J554" i="1"/>
  <c r="F444" i="1"/>
  <c r="A738" i="1"/>
  <c r="C573" i="1"/>
  <c r="G573" i="1" s="1"/>
  <c r="A110" i="1"/>
  <c r="C110" i="1" s="1"/>
  <c r="G6" i="1"/>
  <c r="E718" i="1"/>
  <c r="C721" i="1" s="1"/>
  <c r="A702" i="1"/>
  <c r="C702" i="1" s="1"/>
  <c r="B745" i="1"/>
  <c r="C740" i="1"/>
  <c r="B732" i="1"/>
  <c r="G651" i="1"/>
  <c r="F652" i="1"/>
  <c r="G642" i="1"/>
  <c r="F646" i="1"/>
  <c r="C634" i="1"/>
  <c r="A601" i="1"/>
  <c r="C601" i="1" s="1"/>
  <c r="F590" i="1"/>
  <c r="F573" i="1"/>
  <c r="E573" i="1"/>
  <c r="H573" i="1"/>
  <c r="C585" i="1"/>
  <c r="B578" i="1"/>
  <c r="B579" i="1" s="1"/>
  <c r="D519" i="1"/>
  <c r="C479" i="1"/>
  <c r="B480" i="1"/>
  <c r="C467" i="1"/>
  <c r="C468" i="1" s="1"/>
  <c r="E455" i="1"/>
  <c r="C463" i="1"/>
  <c r="H455" i="1"/>
  <c r="I455" i="1" s="1"/>
  <c r="F455" i="1"/>
  <c r="G455" i="1"/>
  <c r="J447" i="1"/>
  <c r="D332" i="1"/>
  <c r="D339" i="1"/>
  <c r="B340" i="1"/>
  <c r="C185" i="1"/>
  <c r="B285" i="1"/>
  <c r="B273" i="1"/>
  <c r="G55" i="1"/>
  <c r="B60" i="1"/>
  <c r="B61" i="1" s="1"/>
  <c r="A186" i="1"/>
  <c r="C186" i="1" s="1"/>
  <c r="F72" i="1"/>
  <c r="H55" i="1"/>
  <c r="I55" i="1" s="1"/>
  <c r="C67" i="1"/>
  <c r="F55" i="1"/>
  <c r="E55" i="1"/>
  <c r="J9" i="1"/>
  <c r="F585" i="1" l="1"/>
  <c r="I573" i="1"/>
  <c r="J573" i="1"/>
  <c r="C738" i="1"/>
  <c r="B522" i="1"/>
  <c r="B658" i="1"/>
  <c r="B471" i="1"/>
  <c r="C741" i="1"/>
  <c r="G444" i="1"/>
  <c r="F67" i="1"/>
  <c r="B222" i="1"/>
  <c r="F647" i="1"/>
  <c r="G646" i="1"/>
  <c r="F653" i="1"/>
  <c r="G652" i="1"/>
  <c r="E585" i="1"/>
  <c r="B481" i="1"/>
  <c r="C481" i="1" s="1"/>
  <c r="C480" i="1"/>
  <c r="F463" i="1"/>
  <c r="E463" i="1"/>
  <c r="J455" i="1"/>
  <c r="D340" i="1"/>
  <c r="B341" i="1"/>
  <c r="C188" i="1"/>
  <c r="E67" i="1"/>
  <c r="J55" i="1"/>
  <c r="B660" i="1" l="1"/>
  <c r="B472" i="1"/>
  <c r="C742" i="1"/>
  <c r="G463" i="1"/>
  <c r="G585" i="1"/>
  <c r="B216" i="1"/>
  <c r="B219" i="1" s="1"/>
  <c r="A278" i="1"/>
  <c r="G67" i="1"/>
  <c r="D793" i="1"/>
  <c r="F648" i="1"/>
  <c r="G648" i="1" s="1"/>
  <c r="G647" i="1"/>
  <c r="G653" i="1"/>
  <c r="F654" i="1"/>
  <c r="C487" i="1"/>
  <c r="B342" i="1"/>
  <c r="D341" i="1"/>
  <c r="B473" i="1" l="1"/>
  <c r="C278" i="1"/>
  <c r="C280" i="1"/>
  <c r="B218" i="1"/>
  <c r="F655" i="1"/>
  <c r="G655" i="1" s="1"/>
  <c r="G654" i="1"/>
  <c r="B343" i="1"/>
  <c r="D343" i="1" s="1"/>
  <c r="D342" i="1"/>
  <c r="C281" i="1" l="1"/>
  <c r="C282" i="1" s="1"/>
  <c r="B220" i="1"/>
  <c r="D800" i="1"/>
  <c r="G656" i="1"/>
  <c r="B659" i="1" s="1"/>
  <c r="D344" i="1"/>
  <c r="C703" i="1" l="1"/>
  <c r="C704" i="1" s="1"/>
  <c r="L9" i="5" l="1"/>
  <c r="L17" i="5" s="1"/>
  <c r="K9" i="5"/>
  <c r="K17" i="5" s="1"/>
  <c r="F9" i="5"/>
  <c r="F17" i="5" s="1"/>
  <c r="I9" i="5"/>
  <c r="I17" i="5" s="1"/>
  <c r="G9" i="5"/>
  <c r="G17" i="5" s="1"/>
  <c r="H9" i="5"/>
  <c r="H17" i="5" s="1"/>
  <c r="J9" i="5"/>
  <c r="J17" i="5" s="1"/>
  <c r="N11" i="5" l="1"/>
  <c r="N17" i="5" s="1"/>
  <c r="Q11" i="5"/>
  <c r="Q17" i="5" s="1"/>
  <c r="O11" i="5"/>
  <c r="O17" i="5" s="1"/>
  <c r="M11" i="5"/>
  <c r="M17" i="5" s="1"/>
  <c r="P11" i="5"/>
  <c r="P17" i="5" s="1"/>
  <c r="E10" i="5"/>
  <c r="E6" i="5" l="1"/>
  <c r="E14" i="5"/>
  <c r="L16" i="5"/>
  <c r="I16" i="5"/>
  <c r="J16" i="5"/>
  <c r="F16" i="5"/>
  <c r="K16" i="5"/>
  <c r="E12" i="5"/>
  <c r="E8" i="5"/>
  <c r="G16" i="5"/>
  <c r="H16" i="5"/>
  <c r="P16" i="5"/>
  <c r="M16" i="5"/>
  <c r="O16" i="5"/>
  <c r="Q16" i="5"/>
  <c r="N16" i="5"/>
  <c r="E16" i="5" l="1"/>
</calcChain>
</file>

<file path=xl/sharedStrings.xml><?xml version="1.0" encoding="utf-8"?>
<sst xmlns="http://schemas.openxmlformats.org/spreadsheetml/2006/main" count="3307" uniqueCount="1386">
  <si>
    <t>Memória de Cálculo - Ampliação e reforma UBS</t>
  </si>
  <si>
    <t xml:space="preserve">1 - </t>
  </si>
  <si>
    <t>1.1</t>
  </si>
  <si>
    <t>1.2</t>
  </si>
  <si>
    <t>1.3</t>
  </si>
  <si>
    <t>1.</t>
  </si>
  <si>
    <t>1.4</t>
  </si>
  <si>
    <t>1.5</t>
  </si>
  <si>
    <t>2.</t>
  </si>
  <si>
    <t>2.1</t>
  </si>
  <si>
    <t>2.3</t>
  </si>
  <si>
    <t xml:space="preserve">Regularização do terreno </t>
  </si>
  <si>
    <t>2.1.1</t>
  </si>
  <si>
    <t>2.1.2</t>
  </si>
  <si>
    <t>2.1.3</t>
  </si>
  <si>
    <t>2.1.4</t>
  </si>
  <si>
    <t>m²</t>
  </si>
  <si>
    <t xml:space="preserve">Fundação </t>
  </si>
  <si>
    <t>2.3.1</t>
  </si>
  <si>
    <t>Estacas</t>
  </si>
  <si>
    <t>N</t>
  </si>
  <si>
    <t>Cintas Inferiores</t>
  </si>
  <si>
    <t>L (m)</t>
  </si>
  <si>
    <t>DN</t>
  </si>
  <si>
    <t>Prof. (m)</t>
  </si>
  <si>
    <t>Blocos</t>
  </si>
  <si>
    <t>B (m)</t>
  </si>
  <si>
    <t>L(m)</t>
  </si>
  <si>
    <t>H (m)</t>
  </si>
  <si>
    <t>Escavação (m³)</t>
  </si>
  <si>
    <t>Lastro (m³)</t>
  </si>
  <si>
    <t>Aço (kg)</t>
  </si>
  <si>
    <t>Concreto (m³)</t>
  </si>
  <si>
    <t>Forma (m²)</t>
  </si>
  <si>
    <t>Reaterro (m³)</t>
  </si>
  <si>
    <t>Pilares</t>
  </si>
  <si>
    <t>L total (m)</t>
  </si>
  <si>
    <t xml:space="preserve">Total </t>
  </si>
  <si>
    <t>Cintas inferiores</t>
  </si>
  <si>
    <t>Cintas superiores</t>
  </si>
  <si>
    <t xml:space="preserve">Laje </t>
  </si>
  <si>
    <t>Maciça</t>
  </si>
  <si>
    <t xml:space="preserve">total </t>
  </si>
  <si>
    <t xml:space="preserve">Pré-moldada </t>
  </si>
  <si>
    <t>Vão (m)</t>
  </si>
  <si>
    <t>A (m²)</t>
  </si>
  <si>
    <t>Vão até 3m</t>
  </si>
  <si>
    <t>Vão até 4m</t>
  </si>
  <si>
    <t>Cimbramento (lajes pré-moldadas)</t>
  </si>
  <si>
    <t>A(m²)</t>
  </si>
  <si>
    <t>V (m³)</t>
  </si>
  <si>
    <t>Cimbramento (maciça)</t>
  </si>
  <si>
    <t>Area (m²)</t>
  </si>
  <si>
    <t xml:space="preserve">Alvenaria </t>
  </si>
  <si>
    <t>L (total)</t>
  </si>
  <si>
    <t>Alvenaria</t>
  </si>
  <si>
    <t>Emboço</t>
  </si>
  <si>
    <t>ARS</t>
  </si>
  <si>
    <t xml:space="preserve">Tipo de revestimento </t>
  </si>
  <si>
    <t>1 - Azulejo toda parede</t>
  </si>
  <si>
    <t>DML</t>
  </si>
  <si>
    <t>4 - Azulejo meia parede</t>
  </si>
  <si>
    <t>WC</t>
  </si>
  <si>
    <t>Copa</t>
  </si>
  <si>
    <t xml:space="preserve">4 - </t>
  </si>
  <si>
    <t>IS PNE</t>
  </si>
  <si>
    <t>Vig. Sanit.</t>
  </si>
  <si>
    <t xml:space="preserve">Cons. Mult. </t>
  </si>
  <si>
    <t>4 -</t>
  </si>
  <si>
    <t xml:space="preserve">IS </t>
  </si>
  <si>
    <t>Fisioterapia</t>
  </si>
  <si>
    <t>Box individual</t>
  </si>
  <si>
    <t>Local</t>
  </si>
  <si>
    <t xml:space="preserve">Revestimento </t>
  </si>
  <si>
    <t>Chapisco</t>
  </si>
  <si>
    <t>Reboco</t>
  </si>
  <si>
    <t xml:space="preserve">Pintura interna </t>
  </si>
  <si>
    <t>Pintura externa (grafiado)</t>
  </si>
  <si>
    <t>Forro  PVC</t>
  </si>
  <si>
    <t xml:space="preserve">Cobertura </t>
  </si>
  <si>
    <t>Cobertura telha fibrocimento</t>
  </si>
  <si>
    <t>Cobertura telha colonial</t>
  </si>
  <si>
    <t>Platibanda</t>
  </si>
  <si>
    <t>B(m)</t>
  </si>
  <si>
    <t>i~12%</t>
  </si>
  <si>
    <t xml:space="preserve">Pergolado metálico </t>
  </si>
  <si>
    <t xml:space="preserve">Engradamento </t>
  </si>
  <si>
    <t xml:space="preserve">Telhas </t>
  </si>
  <si>
    <t>L(inclinação 12%)</t>
  </si>
  <si>
    <t xml:space="preserve">Rufos </t>
  </si>
  <si>
    <t>Calhas</t>
  </si>
  <si>
    <t xml:space="preserve">m </t>
  </si>
  <si>
    <t>m</t>
  </si>
  <si>
    <t>Condutores de água pluvial</t>
  </si>
  <si>
    <t xml:space="preserve">N = </t>
  </si>
  <si>
    <t>Estrutura metálica</t>
  </si>
  <si>
    <t xml:space="preserve">Acrílico </t>
  </si>
  <si>
    <t xml:space="preserve">Impermeabilização </t>
  </si>
  <si>
    <t xml:space="preserve">Cinta inf. </t>
  </si>
  <si>
    <t xml:space="preserve">Piso </t>
  </si>
  <si>
    <t xml:space="preserve">Lastro de concreto </t>
  </si>
  <si>
    <t>e (m)</t>
  </si>
  <si>
    <t>Contrapiso com impermeabilizante</t>
  </si>
  <si>
    <t xml:space="preserve">Piso de concreto </t>
  </si>
  <si>
    <t xml:space="preserve">Piso cerâmico </t>
  </si>
  <si>
    <t xml:space="preserve">Rodapés </t>
  </si>
  <si>
    <t xml:space="preserve">L </t>
  </si>
  <si>
    <t>Instalações hidráulicas</t>
  </si>
  <si>
    <t>Esquadrias</t>
  </si>
  <si>
    <t>Bancadas e divisórias</t>
  </si>
  <si>
    <t xml:space="preserve">Janela de alumínio </t>
  </si>
  <si>
    <t>J 01</t>
  </si>
  <si>
    <t>J 02</t>
  </si>
  <si>
    <t>J 03</t>
  </si>
  <si>
    <t>J 04</t>
  </si>
  <si>
    <t>J 05</t>
  </si>
  <si>
    <t>J 06</t>
  </si>
  <si>
    <t>J 07</t>
  </si>
  <si>
    <t>Larg(m)</t>
  </si>
  <si>
    <t xml:space="preserve">Tipo </t>
  </si>
  <si>
    <t>J 08</t>
  </si>
  <si>
    <t>J 09</t>
  </si>
  <si>
    <t>J 10</t>
  </si>
  <si>
    <t>J 11</t>
  </si>
  <si>
    <t>J 12</t>
  </si>
  <si>
    <t>Nº</t>
  </si>
  <si>
    <t>Portas</t>
  </si>
  <si>
    <t>P01</t>
  </si>
  <si>
    <t>P02</t>
  </si>
  <si>
    <t>P03</t>
  </si>
  <si>
    <t>P04</t>
  </si>
  <si>
    <t>P05</t>
  </si>
  <si>
    <t>Maxim-ar</t>
  </si>
  <si>
    <t>Basculante</t>
  </si>
  <si>
    <t xml:space="preserve">Maxim-ar fixo </t>
  </si>
  <si>
    <t>Correr</t>
  </si>
  <si>
    <t>P06</t>
  </si>
  <si>
    <t>Abrir 2 folhas</t>
  </si>
  <si>
    <t>Abrir 2 folhas - Vido temperado</t>
  </si>
  <si>
    <t>Abrir 2 folhas - Prancheta</t>
  </si>
  <si>
    <t>Abrir - Prancheta</t>
  </si>
  <si>
    <t>P07</t>
  </si>
  <si>
    <t>Abrir 2 folhas - metalon</t>
  </si>
  <si>
    <t>P08</t>
  </si>
  <si>
    <t>P09</t>
  </si>
  <si>
    <t>Abrir - Metalon</t>
  </si>
  <si>
    <t>P10</t>
  </si>
  <si>
    <t>Emassamento e pintura (portas)</t>
  </si>
  <si>
    <t>Área (m²)</t>
  </si>
  <si>
    <t>Fundo preparador e pintura (porta metalon)</t>
  </si>
  <si>
    <t xml:space="preserve">Vidro boreal </t>
  </si>
  <si>
    <t xml:space="preserve">Vidro canelado </t>
  </si>
  <si>
    <t>Abrir - Prancheta (deficiente)</t>
  </si>
  <si>
    <t>Divisórias</t>
  </si>
  <si>
    <t xml:space="preserve">Divisórias granito </t>
  </si>
  <si>
    <t>Bancadas</t>
  </si>
  <si>
    <t>H(m)</t>
  </si>
  <si>
    <t xml:space="preserve">N </t>
  </si>
  <si>
    <t xml:space="preserve">Banheiros </t>
  </si>
  <si>
    <t xml:space="preserve">Abrir - alumínio </t>
  </si>
  <si>
    <t>Divisória eucatex</t>
  </si>
  <si>
    <t>Rodobancada</t>
  </si>
  <si>
    <t xml:space="preserve">Alçapão </t>
  </si>
  <si>
    <t>Abri - metalon</t>
  </si>
  <si>
    <t xml:space="preserve">Caixa d'água - 500 L </t>
  </si>
  <si>
    <t>unidades</t>
  </si>
  <si>
    <t xml:space="preserve">Pontos de água </t>
  </si>
  <si>
    <t>pontos</t>
  </si>
  <si>
    <t xml:space="preserve">Pontos de esgoto </t>
  </si>
  <si>
    <t xml:space="preserve">DN </t>
  </si>
  <si>
    <t>Ptos</t>
  </si>
  <si>
    <t>Barras de apoio deficiente</t>
  </si>
  <si>
    <t>Peças Sanitárias</t>
  </si>
  <si>
    <t>Vaso caixa aclopado</t>
  </si>
  <si>
    <t>Vaso válvula de descarga</t>
  </si>
  <si>
    <t>Pia de canto</t>
  </si>
  <si>
    <t>Bojo para pia de bancadda</t>
  </si>
  <si>
    <t>Tanque</t>
  </si>
  <si>
    <t>Bojo para pia de cozinha</t>
  </si>
  <si>
    <t>Torneira para tanque</t>
  </si>
  <si>
    <t>Torneira para pia</t>
  </si>
  <si>
    <t>Chuveiro</t>
  </si>
  <si>
    <t xml:space="preserve">Bebedouro </t>
  </si>
  <si>
    <t>Lavablo</t>
  </si>
  <si>
    <t>Instalações elétricas</t>
  </si>
  <si>
    <t>Padrão de energia</t>
  </si>
  <si>
    <t>unidade</t>
  </si>
  <si>
    <t>Rede subterrâena - Padrão até quadro</t>
  </si>
  <si>
    <t xml:space="preserve">H (m) </t>
  </si>
  <si>
    <t>Escavação manual de vala (m³)</t>
  </si>
  <si>
    <t>Apiloamento de fundo de vala (m²)</t>
  </si>
  <si>
    <t>Reaterro compactado (m³)</t>
  </si>
  <si>
    <t xml:space="preserve">Caixas de passagem </t>
  </si>
  <si>
    <t xml:space="preserve">unid. </t>
  </si>
  <si>
    <t>Eletroduto corrugado (DN 1 1/4")</t>
  </si>
  <si>
    <t>Cabo #10mm²</t>
  </si>
  <si>
    <t xml:space="preserve">Quadro </t>
  </si>
  <si>
    <t>Disjuntor</t>
  </si>
  <si>
    <t xml:space="preserve">Cabo </t>
  </si>
  <si>
    <t># 2,5mm²</t>
  </si>
  <si>
    <t># 4,0 mm²</t>
  </si>
  <si>
    <t># 6,0 mm²</t>
  </si>
  <si>
    <t># 10 mm²</t>
  </si>
  <si>
    <t>Luminárias</t>
  </si>
  <si>
    <t>Tomadas</t>
  </si>
  <si>
    <t>Interruptor</t>
  </si>
  <si>
    <t>Tomadas (internet)</t>
  </si>
  <si>
    <t xml:space="preserve">Cabos </t>
  </si>
  <si>
    <t>Rede Lógica</t>
  </si>
  <si>
    <t>Spot</t>
  </si>
  <si>
    <t>Luminárias (externas)</t>
  </si>
  <si>
    <t xml:space="preserve">Ligação da rede até caixa d'água </t>
  </si>
  <si>
    <t>Tubo DN 50mm</t>
  </si>
  <si>
    <t>Derivação da rede (alimentação de 2 reservatórios)</t>
  </si>
  <si>
    <t xml:space="preserve">Urbanização - Área externa </t>
  </si>
  <si>
    <t xml:space="preserve">Prevenção a incêndio </t>
  </si>
  <si>
    <t xml:space="preserve">Muro de vedação </t>
  </si>
  <si>
    <t>Pintura (grafiado)</t>
  </si>
  <si>
    <t>Passeio cimentado</t>
  </si>
  <si>
    <t>Grama</t>
  </si>
  <si>
    <t xml:space="preserve">Piso intertravado </t>
  </si>
  <si>
    <t xml:space="preserve">Rede de esgoto externa </t>
  </si>
  <si>
    <t>Edificação (Anexo)</t>
  </si>
  <si>
    <t xml:space="preserve">Reforma </t>
  </si>
  <si>
    <t>Demolições</t>
  </si>
  <si>
    <t>Remoções</t>
  </si>
  <si>
    <t>Porta (70 x 210)</t>
  </si>
  <si>
    <t xml:space="preserve">Bancada </t>
  </si>
  <si>
    <t>Pia</t>
  </si>
  <si>
    <t xml:space="preserve">Vaso sanitário </t>
  </si>
  <si>
    <t xml:space="preserve">Demolição de concreto - Pilares e vigas </t>
  </si>
  <si>
    <t xml:space="preserve">Remoção de telhado </t>
  </si>
  <si>
    <t xml:space="preserve">A = </t>
  </si>
  <si>
    <t xml:space="preserve">V = </t>
  </si>
  <si>
    <t>m³</t>
  </si>
  <si>
    <t xml:space="preserve">A1 = </t>
  </si>
  <si>
    <t>A2 =</t>
  </si>
  <si>
    <t>(área para fazer a ligação com novo telhado)</t>
  </si>
  <si>
    <t>A</t>
  </si>
  <si>
    <t>B ou H (m)</t>
  </si>
  <si>
    <t>Porta</t>
  </si>
  <si>
    <t xml:space="preserve">Remoção de piso cerâmico </t>
  </si>
  <si>
    <t>Apoio Endemia</t>
  </si>
  <si>
    <t>Estereliz.</t>
  </si>
  <si>
    <t>Expurgo</t>
  </si>
  <si>
    <t>Curativos</t>
  </si>
  <si>
    <t>Coleta</t>
  </si>
  <si>
    <t>WC PNE</t>
  </si>
  <si>
    <t>WCM</t>
  </si>
  <si>
    <t>WCF</t>
  </si>
  <si>
    <t>1 -</t>
  </si>
  <si>
    <t>Triagem</t>
  </si>
  <si>
    <t>Vacinação</t>
  </si>
  <si>
    <t xml:space="preserve">Médico </t>
  </si>
  <si>
    <t xml:space="preserve">Escovário </t>
  </si>
  <si>
    <t>Consul Odontol</t>
  </si>
  <si>
    <t>Roupa suja</t>
  </si>
  <si>
    <t>Roupa limpa</t>
  </si>
  <si>
    <t>Remoção de azulejo</t>
  </si>
  <si>
    <t>(estimado)</t>
  </si>
  <si>
    <t>Lixamento e pintura interna</t>
  </si>
  <si>
    <t xml:space="preserve">Lixamento e pintura </t>
  </si>
  <si>
    <t xml:space="preserve">Emboço </t>
  </si>
  <si>
    <t xml:space="preserve">Pintura total </t>
  </si>
  <si>
    <t>(medida cad)</t>
  </si>
  <si>
    <t xml:space="preserve">Cobertura telha colonial </t>
  </si>
  <si>
    <t xml:space="preserve">Cobertura de acrílico </t>
  </si>
  <si>
    <t xml:space="preserve">Remoção de </t>
  </si>
  <si>
    <t>2 x 80x100</t>
  </si>
  <si>
    <t>2 x 70*100</t>
  </si>
  <si>
    <t xml:space="preserve">Guichê fixo </t>
  </si>
  <si>
    <t xml:space="preserve">Vidro fixo </t>
  </si>
  <si>
    <t xml:space="preserve">Vidro temperado </t>
  </si>
  <si>
    <t xml:space="preserve">Rasgo em alvenaria </t>
  </si>
  <si>
    <t xml:space="preserve">L = </t>
  </si>
  <si>
    <t>Urbanização - Entrada</t>
  </si>
  <si>
    <t>Remoção de piso existente</t>
  </si>
  <si>
    <t>Regularização do terreno</t>
  </si>
  <si>
    <t>Locação da rampa</t>
  </si>
  <si>
    <t xml:space="preserve">Locação topográfica </t>
  </si>
  <si>
    <t>Rampas de acesso</t>
  </si>
  <si>
    <t>Aterro</t>
  </si>
  <si>
    <t>Lastro de concreto</t>
  </si>
  <si>
    <t xml:space="preserve">Contra-piso </t>
  </si>
  <si>
    <t>Piso armado</t>
  </si>
  <si>
    <t>Guarda Corpo</t>
  </si>
  <si>
    <t>Corrimão</t>
  </si>
  <si>
    <t>Gradil frontal</t>
  </si>
  <si>
    <t>Portão de veículos</t>
  </si>
  <si>
    <t>Portão de pedestres</t>
  </si>
  <si>
    <t>Piso cimentado (armado)</t>
  </si>
  <si>
    <t>Meio-fio</t>
  </si>
  <si>
    <t>(h)</t>
  </si>
  <si>
    <t>Muro de arrimo (bloco cheio)</t>
  </si>
  <si>
    <t>unid</t>
  </si>
  <si>
    <t>Iluminação externa</t>
  </si>
  <si>
    <t>2.1.4.1</t>
  </si>
  <si>
    <t>2.1.4.2</t>
  </si>
  <si>
    <t>2.1.4.3</t>
  </si>
  <si>
    <t>2.1.4.4</t>
  </si>
  <si>
    <t>2.1.4.5</t>
  </si>
  <si>
    <t>2.1.4.6</t>
  </si>
  <si>
    <t>FUNDAÇÃO</t>
  </si>
  <si>
    <t>2.3.2</t>
  </si>
  <si>
    <t>2.3.3</t>
  </si>
  <si>
    <t>2.3.4</t>
  </si>
  <si>
    <t>2.3.5</t>
  </si>
  <si>
    <t>2.3.6</t>
  </si>
  <si>
    <t>2.3.7</t>
  </si>
  <si>
    <t>2.3.8</t>
  </si>
  <si>
    <t>2.3.9</t>
  </si>
  <si>
    <t>ADMINISTRAÇÃO DE OBRA</t>
  </si>
  <si>
    <t>LIMPEZA E DEMOLIÇÕES</t>
  </si>
  <si>
    <t>AMPLIAÇÃO DA UBS</t>
  </si>
  <si>
    <t>1.6</t>
  </si>
  <si>
    <t>1.7</t>
  </si>
  <si>
    <t>1.8</t>
  </si>
  <si>
    <t>1.9</t>
  </si>
  <si>
    <t>SERVIÇOS PRELIMINARES</t>
  </si>
  <si>
    <t xml:space="preserve">ITEM </t>
  </si>
  <si>
    <t xml:space="preserve">CÓDIGO </t>
  </si>
  <si>
    <t>FONTE</t>
  </si>
  <si>
    <t>DESCRIÇÃO</t>
  </si>
  <si>
    <t>UNID.</t>
  </si>
  <si>
    <t>QUANT.</t>
  </si>
  <si>
    <t>PREÇO UNITÁRIO</t>
  </si>
  <si>
    <t>CUSTO  UNITÁRIO</t>
  </si>
  <si>
    <t>BDI</t>
  </si>
  <si>
    <t>%</t>
  </si>
  <si>
    <t>M²</t>
  </si>
  <si>
    <t>MÊS</t>
  </si>
  <si>
    <t>M2</t>
  </si>
  <si>
    <t xml:space="preserve">DEMOLIÇÃO (ABRIGO DE RESÍDUOS) </t>
  </si>
  <si>
    <t>M3</t>
  </si>
  <si>
    <t>M3XKM</t>
  </si>
  <si>
    <t>M</t>
  </si>
  <si>
    <t>KG</t>
  </si>
  <si>
    <t>PREÇO TOTAL</t>
  </si>
  <si>
    <t>2.3.10</t>
  </si>
  <si>
    <t>2.4</t>
  </si>
  <si>
    <t>ESTRUTURA</t>
  </si>
  <si>
    <t>2.4.1</t>
  </si>
  <si>
    <t>2.4.2</t>
  </si>
  <si>
    <t>2.4.3</t>
  </si>
  <si>
    <t>2.4.4</t>
  </si>
  <si>
    <t>2.4.5</t>
  </si>
  <si>
    <t>2.4.6</t>
  </si>
  <si>
    <t>2.5</t>
  </si>
  <si>
    <t>ALVENARIA E REVESTIMENTOS</t>
  </si>
  <si>
    <t>2.5.1</t>
  </si>
  <si>
    <t>2.5.2</t>
  </si>
  <si>
    <t>2.5.3</t>
  </si>
  <si>
    <t>2.5.4</t>
  </si>
  <si>
    <t>2.5.5</t>
  </si>
  <si>
    <t>2.5.6</t>
  </si>
  <si>
    <t>2.6</t>
  </si>
  <si>
    <t>PISOS E REVESTIMENTOS</t>
  </si>
  <si>
    <t>PINTURA</t>
  </si>
  <si>
    <t>Soleira</t>
  </si>
  <si>
    <t>COBERTURA</t>
  </si>
  <si>
    <t>ESQUADRIAS</t>
  </si>
  <si>
    <t>BANCADAS E DIVISÓRIAS</t>
  </si>
  <si>
    <t>INSTALAÇÕES HIDRÁULICAS</t>
  </si>
  <si>
    <t>INTERLIGAÇÃO REDE PÚBLICA ATÉ CAIXA DÁGUA</t>
  </si>
  <si>
    <t>ALIMENTAÇÃO DAS CAIXAS D'AGUA</t>
  </si>
  <si>
    <t>PEÇAS SANITÁRIAS</t>
  </si>
  <si>
    <t>REDE DE ESGOTO - EXTERNA</t>
  </si>
  <si>
    <t xml:space="preserve">LIGAÇÃO PADRÃO DE ENERGIA / QUADRO GERAL </t>
  </si>
  <si>
    <t>QUADROS E DISJUNTORES</t>
  </si>
  <si>
    <t>REDE DE LÓGICA E TELEFONE</t>
  </si>
  <si>
    <t>INSTALAÇÃO DE SPDA</t>
  </si>
  <si>
    <t>INSTALAÇÕES ELÉTRICAS, CABEAMENTO E SPDA</t>
  </si>
  <si>
    <t>ÁREA EXTERNA - MURO DE VEDAÇÃO E OUTROS</t>
  </si>
  <si>
    <t>PASSEIO E OUTROS</t>
  </si>
  <si>
    <t>2.6.1</t>
  </si>
  <si>
    <t>2.6.2</t>
  </si>
  <si>
    <t>2.6.3</t>
  </si>
  <si>
    <t>2.6.4</t>
  </si>
  <si>
    <t>2.6.5</t>
  </si>
  <si>
    <t>2.6.6</t>
  </si>
  <si>
    <t>2.7</t>
  </si>
  <si>
    <t>2.7.1</t>
  </si>
  <si>
    <t>2.7.2</t>
  </si>
  <si>
    <t>2.7.3</t>
  </si>
  <si>
    <t>2.7.4</t>
  </si>
  <si>
    <t>2.7.5</t>
  </si>
  <si>
    <t>2.7.6</t>
  </si>
  <si>
    <t>2.7.7</t>
  </si>
  <si>
    <t>2.8</t>
  </si>
  <si>
    <t>2.8.1</t>
  </si>
  <si>
    <t>2.8.2</t>
  </si>
  <si>
    <t>2.8.3</t>
  </si>
  <si>
    <t>2.8.4</t>
  </si>
  <si>
    <t>2.8.5</t>
  </si>
  <si>
    <t>2.8.6</t>
  </si>
  <si>
    <t>2.8.7</t>
  </si>
  <si>
    <t>2.9</t>
  </si>
  <si>
    <t>2.9.1</t>
  </si>
  <si>
    <t>2.9.2</t>
  </si>
  <si>
    <t>2.9.3</t>
  </si>
  <si>
    <t>2.9.4</t>
  </si>
  <si>
    <t>2.10</t>
  </si>
  <si>
    <t>2.10.1</t>
  </si>
  <si>
    <t>2.10.2</t>
  </si>
  <si>
    <t>2.10.3</t>
  </si>
  <si>
    <t>2.10.4</t>
  </si>
  <si>
    <t>2.11</t>
  </si>
  <si>
    <t>2.11.1</t>
  </si>
  <si>
    <t>2.11.2</t>
  </si>
  <si>
    <t>2.11.3</t>
  </si>
  <si>
    <t>2.11.4</t>
  </si>
  <si>
    <t>2.11.5</t>
  </si>
  <si>
    <t>2.11.6</t>
  </si>
  <si>
    <t>2.12</t>
  </si>
  <si>
    <t>2.12.1</t>
  </si>
  <si>
    <t>2.12.2</t>
  </si>
  <si>
    <t>2.12.3</t>
  </si>
  <si>
    <t>2.12.4</t>
  </si>
  <si>
    <t>2.12.5</t>
  </si>
  <si>
    <t>2.13</t>
  </si>
  <si>
    <t>2.13.1</t>
  </si>
  <si>
    <t>2.13.2</t>
  </si>
  <si>
    <t>2.13.2.1</t>
  </si>
  <si>
    <t>2.13.2.2</t>
  </si>
  <si>
    <t>2.13.2.3</t>
  </si>
  <si>
    <t>2.13.3</t>
  </si>
  <si>
    <t>2.13.3.1</t>
  </si>
  <si>
    <t>2.13.3.2</t>
  </si>
  <si>
    <t>2.13.3.3</t>
  </si>
  <si>
    <t>2.13.3.4</t>
  </si>
  <si>
    <t>2.13.4</t>
  </si>
  <si>
    <t>3.</t>
  </si>
  <si>
    <t>3.1</t>
  </si>
  <si>
    <t>3.1.1</t>
  </si>
  <si>
    <t>3.1.2</t>
  </si>
  <si>
    <t>3.1.3</t>
  </si>
  <si>
    <t>3.1.4</t>
  </si>
  <si>
    <t>3.2</t>
  </si>
  <si>
    <t>3.2.1</t>
  </si>
  <si>
    <t>3.2.2</t>
  </si>
  <si>
    <t>3.2.3</t>
  </si>
  <si>
    <t>3.2.4</t>
  </si>
  <si>
    <t>3.2.5</t>
  </si>
  <si>
    <t>3.2.6</t>
  </si>
  <si>
    <t>3.2.7</t>
  </si>
  <si>
    <t>3.2.8</t>
  </si>
  <si>
    <t>3.3</t>
  </si>
  <si>
    <t>3.3.1</t>
  </si>
  <si>
    <t>3.3.2</t>
  </si>
  <si>
    <t>3.3.3</t>
  </si>
  <si>
    <t>3.3.4</t>
  </si>
  <si>
    <t>3.3.5</t>
  </si>
  <si>
    <t>3.3.6</t>
  </si>
  <si>
    <t>3.3.7</t>
  </si>
  <si>
    <t>3.3.8</t>
  </si>
  <si>
    <t>3.4</t>
  </si>
  <si>
    <t>3.4.1</t>
  </si>
  <si>
    <t>3.4.2</t>
  </si>
  <si>
    <t>3.4.3</t>
  </si>
  <si>
    <t>3.4.4</t>
  </si>
  <si>
    <t>3.4.5</t>
  </si>
  <si>
    <t>3.4.6</t>
  </si>
  <si>
    <t>REFORMA DA UBS (EDIFICAÇÃO EXISTENTE)</t>
  </si>
  <si>
    <t>DEMOLIÇÕES E REMOÇÕES</t>
  </si>
  <si>
    <t>3.1.5</t>
  </si>
  <si>
    <t>3.1.6</t>
  </si>
  <si>
    <t>A(m2)</t>
  </si>
  <si>
    <t>3.1.7</t>
  </si>
  <si>
    <t>3.1.8</t>
  </si>
  <si>
    <t>3.1.9</t>
  </si>
  <si>
    <t>3.1.10</t>
  </si>
  <si>
    <t>3.1.11</t>
  </si>
  <si>
    <t>3.1.12</t>
  </si>
  <si>
    <t>3.1.13</t>
  </si>
  <si>
    <t>Soleira (L)</t>
  </si>
  <si>
    <t>3.5</t>
  </si>
  <si>
    <t>3.5.1</t>
  </si>
  <si>
    <t>3.5.2</t>
  </si>
  <si>
    <t>3.5.3</t>
  </si>
  <si>
    <t>3.5.4</t>
  </si>
  <si>
    <t>3.5.5</t>
  </si>
  <si>
    <t>3.5.6</t>
  </si>
  <si>
    <t>3.6</t>
  </si>
  <si>
    <t>3.6.1</t>
  </si>
  <si>
    <t>3.6.2</t>
  </si>
  <si>
    <t>3.6.3</t>
  </si>
  <si>
    <t>3.6.4</t>
  </si>
  <si>
    <t>3.6.5</t>
  </si>
  <si>
    <t>3.6.6</t>
  </si>
  <si>
    <t>3.7</t>
  </si>
  <si>
    <t>3.7.1</t>
  </si>
  <si>
    <t>3.7.2</t>
  </si>
  <si>
    <t>3.7.3</t>
  </si>
  <si>
    <t>3.7.4</t>
  </si>
  <si>
    <t>3.7.5</t>
  </si>
  <si>
    <t>3.7.6</t>
  </si>
  <si>
    <t>3.7.7</t>
  </si>
  <si>
    <t>3.7.8</t>
  </si>
  <si>
    <t>3.8</t>
  </si>
  <si>
    <t>3.8.1</t>
  </si>
  <si>
    <t>3.8.2</t>
  </si>
  <si>
    <t>3.8.3</t>
  </si>
  <si>
    <t>3.8.4</t>
  </si>
  <si>
    <t>3.8.5</t>
  </si>
  <si>
    <t>3.8.6</t>
  </si>
  <si>
    <t>3.8.7</t>
  </si>
  <si>
    <t>3.8.8</t>
  </si>
  <si>
    <t>3.8.9</t>
  </si>
  <si>
    <t>3.9</t>
  </si>
  <si>
    <t>3.9.1</t>
  </si>
  <si>
    <t>3.9.2</t>
  </si>
  <si>
    <t>3.9.3</t>
  </si>
  <si>
    <t>3.9.4</t>
  </si>
  <si>
    <t>3.10</t>
  </si>
  <si>
    <t>3.10.1</t>
  </si>
  <si>
    <t>3.10.2</t>
  </si>
  <si>
    <t>3.10.3</t>
  </si>
  <si>
    <t>3.10.4</t>
  </si>
  <si>
    <t>3.10.5</t>
  </si>
  <si>
    <t>3.10.6</t>
  </si>
  <si>
    <t>3.10.7</t>
  </si>
  <si>
    <t>3.11</t>
  </si>
  <si>
    <t>3.11.1</t>
  </si>
  <si>
    <t>3.11.2</t>
  </si>
  <si>
    <t>3.11.3</t>
  </si>
  <si>
    <t>3.11.4</t>
  </si>
  <si>
    <t>3.11.5</t>
  </si>
  <si>
    <t>3.11.6</t>
  </si>
  <si>
    <t>3.11.7</t>
  </si>
  <si>
    <t>3.11.8</t>
  </si>
  <si>
    <t>3.12</t>
  </si>
  <si>
    <t>3.12.1</t>
  </si>
  <si>
    <t>3.12.2</t>
  </si>
  <si>
    <t>3.12.3</t>
  </si>
  <si>
    <t>3.12.4</t>
  </si>
  <si>
    <t>3.12.5</t>
  </si>
  <si>
    <t>3.12.6</t>
  </si>
  <si>
    <t>3.12.7</t>
  </si>
  <si>
    <t>3.12.8</t>
  </si>
  <si>
    <t>3.12.9</t>
  </si>
  <si>
    <t>3.12.10</t>
  </si>
  <si>
    <t>3.12.11</t>
  </si>
  <si>
    <t>3.12.12</t>
  </si>
  <si>
    <t>3.12.13</t>
  </si>
  <si>
    <t>3.12.14</t>
  </si>
  <si>
    <t>3.12.15</t>
  </si>
  <si>
    <t>3.12.16</t>
  </si>
  <si>
    <t>3.12.17</t>
  </si>
  <si>
    <t>3.12.18</t>
  </si>
  <si>
    <t>3.12.18.1</t>
  </si>
  <si>
    <t>3.12.18.2</t>
  </si>
  <si>
    <t>3.12.18.3</t>
  </si>
  <si>
    <t>3.12.18.4</t>
  </si>
  <si>
    <t>3.12.18.5</t>
  </si>
  <si>
    <t>3.12.18.6</t>
  </si>
  <si>
    <t>3.12.18.7</t>
  </si>
  <si>
    <t>3.12.18.8</t>
  </si>
  <si>
    <t>3.12.19</t>
  </si>
  <si>
    <t>3.12.19.1</t>
  </si>
  <si>
    <t>3.12.19.2</t>
  </si>
  <si>
    <t>3.12.19.3</t>
  </si>
  <si>
    <t>3.12.19.4</t>
  </si>
  <si>
    <t>3.12.19.5</t>
  </si>
  <si>
    <t>4.</t>
  </si>
  <si>
    <t xml:space="preserve">AGENCIAMENTO EXTERNO </t>
  </si>
  <si>
    <t xml:space="preserve">RAMPA DE ACESSO </t>
  </si>
  <si>
    <t xml:space="preserve">DEMOLIÇÃO </t>
  </si>
  <si>
    <t>GRADIL E PORTÕES</t>
  </si>
  <si>
    <t xml:space="preserve">M </t>
  </si>
  <si>
    <t>PISO E PAVIMENTOS</t>
  </si>
  <si>
    <t>ILUMINAÇÃO EXTERNA</t>
  </si>
  <si>
    <t xml:space="preserve">POSTE RETANGULAR EM AÇO C/ 1 X LED INTEGRADO 50W/6000LM/BIVOLT/IP66/3MTS - FORNECIMENTO E INSTALAÇÃO </t>
  </si>
  <si>
    <t xml:space="preserve">TOTAL GERAL </t>
  </si>
  <si>
    <t>REDE DE DRENAGEM</t>
  </si>
  <si>
    <t xml:space="preserve">PREFEITURA MUNICIPAL DE QUELUZITO </t>
  </si>
  <si>
    <t>PLANILHA ORÇAMENTÁRIA</t>
  </si>
  <si>
    <t>REFORMA E AMPLIAÇÃO DA UNIDADE BÁSICA DE SAÚDE</t>
  </si>
  <si>
    <t xml:space="preserve">DATA BASE </t>
  </si>
  <si>
    <t>PLANILHA SEINFRA - REGIÃO LESTE</t>
  </si>
  <si>
    <t xml:space="preserve"> 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</si>
  <si>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ED-28427</t>
  </si>
  <si>
    <t xml:space="preserve">ED-50393 </t>
  </si>
  <si>
    <t xml:space="preserve">ED-29823 </t>
  </si>
  <si>
    <t>ED-50162</t>
  </si>
  <si>
    <t>ED-16342</t>
  </si>
  <si>
    <t xml:space="preserve">ED-50137 </t>
  </si>
  <si>
    <t>ED-16348</t>
  </si>
  <si>
    <t xml:space="preserve">ED-50155 </t>
  </si>
  <si>
    <t>ED-50703</t>
  </si>
  <si>
    <t>ED-50697</t>
  </si>
  <si>
    <t>ED-51123</t>
  </si>
  <si>
    <t xml:space="preserve">ED-48435 </t>
  </si>
  <si>
    <t>ED-48441</t>
  </si>
  <si>
    <t>ED-48440</t>
  </si>
  <si>
    <t>ED-51134</t>
  </si>
  <si>
    <t xml:space="preserve">ED-51131 </t>
  </si>
  <si>
    <t>ED-29231</t>
  </si>
  <si>
    <t xml:space="preserve">ED-17989 </t>
  </si>
  <si>
    <t xml:space="preserve">ED-51107 </t>
  </si>
  <si>
    <t>ED-49812</t>
  </si>
  <si>
    <t>ED-49637</t>
  </si>
  <si>
    <t>ED-48295</t>
  </si>
  <si>
    <t xml:space="preserve"> FÔRMA E DESFORMA DE TÁBUA E SARRAFO,
REAPROVEITAMENTO (5X), EXCLUSIVE ESCORAMENTO
m2 43,04</t>
  </si>
  <si>
    <t>ED-8471</t>
  </si>
  <si>
    <t xml:space="preserve">ED-51096 </t>
  </si>
  <si>
    <t xml:space="preserve">ED-50764 </t>
  </si>
  <si>
    <t>ED-49647</t>
  </si>
  <si>
    <t xml:space="preserve">ED-19637 </t>
  </si>
  <si>
    <t>ED-19633</t>
  </si>
  <si>
    <t>ED-19635</t>
  </si>
  <si>
    <t xml:space="preserve">ED-50252 </t>
  </si>
  <si>
    <t xml:space="preserve">ED-50253 </t>
  </si>
  <si>
    <t>ED-50847</t>
  </si>
  <si>
    <t>ED-50175</t>
  </si>
  <si>
    <t xml:space="preserve">ED-48232 </t>
  </si>
  <si>
    <t xml:space="preserve">ED-50727 </t>
  </si>
  <si>
    <t>ED-50732</t>
  </si>
  <si>
    <t xml:space="preserve">ED-50761 </t>
  </si>
  <si>
    <t xml:space="preserve">ED-9081 </t>
  </si>
  <si>
    <t xml:space="preserve">ED-49687 </t>
  </si>
  <si>
    <t>ED-50600</t>
  </si>
  <si>
    <t xml:space="preserve">ED-50566 </t>
  </si>
  <si>
    <t xml:space="preserve">ED-50563 </t>
  </si>
  <si>
    <t>ED-50542</t>
  </si>
  <si>
    <t>ED-50771</t>
  </si>
  <si>
    <t>ED-51002</t>
  </si>
  <si>
    <t xml:space="preserve">ED-48408 </t>
  </si>
  <si>
    <t>ED-48425</t>
  </si>
  <si>
    <t xml:space="preserve">ED-48403 </t>
  </si>
  <si>
    <t xml:space="preserve">ED-50683 </t>
  </si>
  <si>
    <t xml:space="preserve">ED-50660 </t>
  </si>
  <si>
    <t xml:space="preserve">ED-50668 </t>
  </si>
  <si>
    <t>ED-48407</t>
  </si>
  <si>
    <t xml:space="preserve">ED-48420 </t>
  </si>
  <si>
    <t>ED-50451</t>
  </si>
  <si>
    <t>ED-50509</t>
  </si>
  <si>
    <t xml:space="preserve">ED-50452 </t>
  </si>
  <si>
    <t xml:space="preserve">ED-50519 </t>
  </si>
  <si>
    <t>ED-50482</t>
  </si>
  <si>
    <t>ED-50493</t>
  </si>
  <si>
    <t xml:space="preserve">ED-50491 </t>
  </si>
  <si>
    <t xml:space="preserve">ED-29482 </t>
  </si>
  <si>
    <t xml:space="preserve">ED-29484 </t>
  </si>
  <si>
    <t>ED-29477</t>
  </si>
  <si>
    <t>ED-51160</t>
  </si>
  <si>
    <t>ED-50794</t>
  </si>
  <si>
    <t>ED-50796</t>
  </si>
  <si>
    <t xml:space="preserve">ED-49602 </t>
  </si>
  <si>
    <t xml:space="preserve">ED-49603 </t>
  </si>
  <si>
    <t>ED-29731</t>
  </si>
  <si>
    <t>ED-48533</t>
  </si>
  <si>
    <t>ED-48536</t>
  </si>
  <si>
    <t>ED-48343</t>
  </si>
  <si>
    <t xml:space="preserve">ED-48348 </t>
  </si>
  <si>
    <t xml:space="preserve">ED-51094 </t>
  </si>
  <si>
    <t>ED-51096</t>
  </si>
  <si>
    <t>ED-50022</t>
  </si>
  <si>
    <t xml:space="preserve">ED-50307 </t>
  </si>
  <si>
    <t xml:space="preserve">ED-49848 </t>
  </si>
  <si>
    <t xml:space="preserve">ED-50020 </t>
  </si>
  <si>
    <t xml:space="preserve">ED-50018 </t>
  </si>
  <si>
    <t>ED-49991</t>
  </si>
  <si>
    <t>ED-49987</t>
  </si>
  <si>
    <t xml:space="preserve">ED-50221 </t>
  </si>
  <si>
    <t>ED-50223</t>
  </si>
  <si>
    <t>ED-50224</t>
  </si>
  <si>
    <t>ED-50225</t>
  </si>
  <si>
    <t>ED-50007</t>
  </si>
  <si>
    <t>ED-49956</t>
  </si>
  <si>
    <t>ED-50297</t>
  </si>
  <si>
    <t xml:space="preserve">ED-50301 </t>
  </si>
  <si>
    <t>ED-2552</t>
  </si>
  <si>
    <t>ED-50283</t>
  </si>
  <si>
    <t>ED-50279</t>
  </si>
  <si>
    <t>ED-9156</t>
  </si>
  <si>
    <t>ED-50288</t>
  </si>
  <si>
    <t>ED-22765</t>
  </si>
  <si>
    <t>ED-50330</t>
  </si>
  <si>
    <t xml:space="preserve"> BRAÇO PARA CHUVEIRO, COMPRIMENTO 40 CM, DIÂMETRO
NOMINAL DE 1/2" (20MM), INCLUSIVE ACABAMENTO
un 20,25</t>
  </si>
  <si>
    <t>ED-50310</t>
  </si>
  <si>
    <t>ED-16344</t>
  </si>
  <si>
    <t>ED-48169</t>
  </si>
  <si>
    <t>ED-51094</t>
  </si>
  <si>
    <t xml:space="preserve">ED-50105 </t>
  </si>
  <si>
    <t>ED-49873</t>
  </si>
  <si>
    <t>ED-49874</t>
  </si>
  <si>
    <t>ED-20583</t>
  </si>
  <si>
    <t xml:space="preserve">ED-49309 </t>
  </si>
  <si>
    <t>ED-49171</t>
  </si>
  <si>
    <t>ED-48998</t>
  </si>
  <si>
    <t xml:space="preserve">ED-49499 </t>
  </si>
  <si>
    <t xml:space="preserve">ED-15114 </t>
  </si>
  <si>
    <t xml:space="preserve">ED-48951 </t>
  </si>
  <si>
    <t xml:space="preserve">ED-48956 </t>
  </si>
  <si>
    <t>ED-48961</t>
  </si>
  <si>
    <t xml:space="preserve">ED-48966 </t>
  </si>
  <si>
    <t xml:space="preserve">ED-17951 </t>
  </si>
  <si>
    <t>ED-17953</t>
  </si>
  <si>
    <t xml:space="preserve">ED-50227 </t>
  </si>
  <si>
    <t>ED-50228</t>
  </si>
  <si>
    <t>ED-50232</t>
  </si>
  <si>
    <t>ED-49387</t>
  </si>
  <si>
    <t xml:space="preserve">ED-13346 </t>
  </si>
  <si>
    <t xml:space="preserve">ED-49385 </t>
  </si>
  <si>
    <t xml:space="preserve">ED-49403 </t>
  </si>
  <si>
    <t>ED-26989</t>
  </si>
  <si>
    <t xml:space="preserve">ED-48365 </t>
  </si>
  <si>
    <t xml:space="preserve">ED-48931 </t>
  </si>
  <si>
    <t xml:space="preserve">ED-15794 </t>
  </si>
  <si>
    <t xml:space="preserve">ED-15751 </t>
  </si>
  <si>
    <t>ED-15795</t>
  </si>
  <si>
    <t xml:space="preserve">ED-48368 </t>
  </si>
  <si>
    <t>ED-48364</t>
  </si>
  <si>
    <t>ED-49343</t>
  </si>
  <si>
    <t xml:space="preserve">ED-51055 </t>
  </si>
  <si>
    <t>ED-51052</t>
  </si>
  <si>
    <t xml:space="preserve">ED-51018 </t>
  </si>
  <si>
    <t xml:space="preserve">ED-13938 </t>
  </si>
  <si>
    <t xml:space="preserve">ED-48195 </t>
  </si>
  <si>
    <t>ED-50519</t>
  </si>
  <si>
    <t xml:space="preserve">ED-51145 </t>
  </si>
  <si>
    <t xml:space="preserve">ED-51122 </t>
  </si>
  <si>
    <t xml:space="preserve">ED-50435 </t>
  </si>
  <si>
    <t>ED-48435</t>
  </si>
  <si>
    <t xml:space="preserve">ED-48441 </t>
  </si>
  <si>
    <t>ED-48480</t>
  </si>
  <si>
    <t xml:space="preserve">ED-48502 </t>
  </si>
  <si>
    <t xml:space="preserve">ED-48457 </t>
  </si>
  <si>
    <t>ED-48514</t>
  </si>
  <si>
    <t>ED-48494</t>
  </si>
  <si>
    <t>ED-48437</t>
  </si>
  <si>
    <t xml:space="preserve">ED-28348 </t>
  </si>
  <si>
    <t xml:space="preserve">ED-48467 </t>
  </si>
  <si>
    <t xml:space="preserve">ED-51134 </t>
  </si>
  <si>
    <t>ED-51131</t>
  </si>
  <si>
    <t>ED-48420</t>
  </si>
  <si>
    <t>ED-50683</t>
  </si>
  <si>
    <t>ED-50505</t>
  </si>
  <si>
    <t>ED-29482</t>
  </si>
  <si>
    <t xml:space="preserve">ED-51160 </t>
  </si>
  <si>
    <t>ED-49602</t>
  </si>
  <si>
    <t>ED-49603</t>
  </si>
  <si>
    <t xml:space="preserve">ED-48533 </t>
  </si>
  <si>
    <t xml:space="preserve">ED-48536 </t>
  </si>
  <si>
    <t xml:space="preserve">ED-48343 </t>
  </si>
  <si>
    <t xml:space="preserve">ED-50275 </t>
  </si>
  <si>
    <t xml:space="preserve">RO-41596 </t>
  </si>
  <si>
    <t xml:space="preserve">ED-51121 </t>
  </si>
  <si>
    <t xml:space="preserve">ED-49812 </t>
  </si>
  <si>
    <t>ED-9320</t>
  </si>
  <si>
    <t>ED-32098</t>
  </si>
  <si>
    <t>ED-50935</t>
  </si>
  <si>
    <t>ED-51145</t>
  </si>
  <si>
    <t>ED-51139</t>
  </si>
  <si>
    <t>ED-51107</t>
  </si>
  <si>
    <t xml:space="preserve">ED-49171 </t>
  </si>
  <si>
    <t xml:space="preserve">ED-48989 </t>
  </si>
  <si>
    <t>ED-49403</t>
  </si>
  <si>
    <t xml:space="preserve">ED-50107 </t>
  </si>
  <si>
    <t>ED-49906</t>
  </si>
  <si>
    <t xml:space="preserve">ED-49909 </t>
  </si>
  <si>
    <t>4.1</t>
  </si>
  <si>
    <t>4.1.1</t>
  </si>
  <si>
    <t>4.1.2</t>
  </si>
  <si>
    <t>4.1.3</t>
  </si>
  <si>
    <t>4.2</t>
  </si>
  <si>
    <t>4.2.1</t>
  </si>
  <si>
    <t>4.2.2</t>
  </si>
  <si>
    <t>4.2.3</t>
  </si>
  <si>
    <t>4.2.4</t>
  </si>
  <si>
    <t>4.2.5</t>
  </si>
  <si>
    <t>4.2.6</t>
  </si>
  <si>
    <t>4.3</t>
  </si>
  <si>
    <t>4.3.1</t>
  </si>
  <si>
    <t>4.3.2</t>
  </si>
  <si>
    <t>4.3.3</t>
  </si>
  <si>
    <t>4.4</t>
  </si>
  <si>
    <t>4.4.1</t>
  </si>
  <si>
    <t>4.4.2</t>
  </si>
  <si>
    <t>4.4.3</t>
  </si>
  <si>
    <t>4.4.4</t>
  </si>
  <si>
    <t>4.4.5</t>
  </si>
  <si>
    <t>4.5</t>
  </si>
  <si>
    <t>4.5.1</t>
  </si>
  <si>
    <t>4.5.2</t>
  </si>
  <si>
    <t>4.5.3</t>
  </si>
  <si>
    <t>4.5.4</t>
  </si>
  <si>
    <t>4.5.5</t>
  </si>
  <si>
    <t>4.5.6</t>
  </si>
  <si>
    <t>4.5.7</t>
  </si>
  <si>
    <t>4.5.8</t>
  </si>
  <si>
    <t>4.6</t>
  </si>
  <si>
    <t>4.6.1</t>
  </si>
  <si>
    <t>4.6.2</t>
  </si>
  <si>
    <t>4.6.3</t>
  </si>
  <si>
    <t>4.6.4</t>
  </si>
  <si>
    <t>4.6.5</t>
  </si>
  <si>
    <t>4.6.6</t>
  </si>
  <si>
    <t>SETOP</t>
  </si>
  <si>
    <t>TAPUME FIXO DE PROTEÇÃO PARA FECHAMENTO DE OBRA EM
TELHA METÁLICA GALVANIZADA, TIPO TRAPEZOIDAL, ESP. 0,5MM,
COM MÓDULO NA DIMENSÃO DE (300X220)CM, COM
REAPROVEITAMENTO, EXCLUSIVE PINTURA ESMALTE, INCLUSIVE
PONTALETE E FIXAÇÃO</t>
  </si>
  <si>
    <t xml:space="preserve"> PORTÃO PARA TAPUME FIXO DE PROTEÇÃO COM FECHAMENTO
DE OBRA EM CHAPA DE COMPENSADO, ESP. 12MM, COM MÓDULO
NA DIMENSÃO DE (110X220)CM, INCLUSIVE FERRAGENS E
PINTURA LÁTEX (PVA) COM DUAS (2) DEMÃOS</t>
  </si>
  <si>
    <t xml:space="preserve"> LIGAÇÃO PROVISÓRIA DE ENERGIA ELÉTRICA PARA CONTAINER </t>
  </si>
  <si>
    <t>MOBILIZAÇÃO E DESMOBILIZAÇÃO DE CONTAINER, INCLUSIVE
CARGA, DESCARGA E TRANSPORTE EM CAMINHÃO CARROCERIA
COM GUINDAUTO (MUNCK), EXCLUSIVE LOCAÇÃO DO CONTAINER</t>
  </si>
  <si>
    <t xml:space="preserve"> LOCAÇÃO DE CONTAINER COM ISOLAMENTO TÉRMICO, TIPO 1,
PARA ESCRITÓRIO DE OBRA, COM MEDIDAS REFERENCIAIS DE (6)
METROS COMPRIMENTO, (2,3) METROS LARGURA E (2,5) METROS
ALTURA ÚTIL INTERNA, INCLUSIVE AR CONDICIONADO E
LIGAÇÕES ELÉTRICAS INTERNAS, EXCLUSIVE MOBILIZAÇÃO/
DESMOBILIZAÇÃO E LIGAÇÕES PROVISÓRIAS EXTERNAS</t>
  </si>
  <si>
    <t>LOCAÇÃO DE BANHEIRO QUÍMICO, DIMENSÃO (110X120X230)CM,
LINHA PADRÃO, CONTENDO UMA (1) PIA/HIGIENIZADOR DE MÃOS,
INCLUSIVE MANUTENÇÃO E MOBILIZAÇÃO/DESMOBILIZAÇÃO</t>
  </si>
  <si>
    <t xml:space="preserve"> LIMPEZA DE TERRENO, INCLUSIVE CAPINA, RASTELAMENTO COM
AFASTAMENTO ATÉ VINTE (20) METROS E QUEIMA CONTROLADA</t>
  </si>
  <si>
    <t xml:space="preserve"> CORTE DE ÁRVORE COM MOTOSSERRA, DIÂMETRO DO TRONCO
DE QUINZE (15) CENTÍMETROS ATÉ TRINTA (30) CENTÍMETROS,
EXCLUSIVE DESTOCAMENTO E AFASTAMENTO</t>
  </si>
  <si>
    <t xml:space="preserve"> REGULARIZAÇÃO MANUAL E COMPACTAÇÃO MECANIZADA DE
TERRENO COM PLACA VIBRATÓRIA, EXCLUSIVE DESMATAMENTO,
DESTOCAMENTO, LIMPEZA/ROÇADA DO TERRENO</t>
  </si>
  <si>
    <t>DEMOLIÇÃO MANUAL DE ALVENARIA DE TIJOLO CERÂMICO OU
BLOCO DE CONCRETO, INCLUSIVE AFASTAMENTO E
EMPILHAMENTO, EXCLUSIVE TRANSPORTE E RETIRADA DO
MATERIAL DEMOLIDO</t>
  </si>
  <si>
    <t xml:space="preserve"> DEMOLIÇÃO MANUAL DE CONCRETO ARMADO, INCLUSIVE
AFASTAMENTO E EMPILHAMENTO, EXCLUSIVE TRANSPORTE E
RETIRADA DO MATERIAL DEMOLIDO</t>
  </si>
  <si>
    <t xml:space="preserve"> DEMOLIÇÃO MANUAL DE CONCRETO, SEM ARMAÇÃO, INCLUSIVE
AFASTAMENTO E EMPILHAMENTO, EXCLUSIVE TRANSPORTE E
RETIRADA DO MATERIAL DEMOLIDO</t>
  </si>
  <si>
    <t xml:space="preserve"> TRANSPORTE DE MATERIAL DE QUALQUER NATUREZA COM
CARRINHO DE MÃO, COM DISTÂNCIAS MAIORES QUE 50M E
MENORES OU IGUAIS A 100M, INCLUSIVE CARGA/DESGARGA</t>
  </si>
  <si>
    <t>CARGA MANUAL DE MATERIAL DE QUALQUER NATUREZA SOBRE
CAMINHÃO, EXCLUSIVE TRANSPORTE</t>
  </si>
  <si>
    <t xml:space="preserve"> TRANSPORTE DE MATERIAL DE QUALQUER NATUREZA EM
CAMINHÃO, DISTÂNCIA MAIOR QUE 2KM E MENOR OU IGUAL A
5KM, DENTRO DO PERÍMETRO URBANO, EXCLUSIVE CARGA,
INCLUSIVE DESCARGA</t>
  </si>
  <si>
    <t>LOCAÇÃO DE OBRA COM GABARITO DE TÁBUAS CORRIDAS
PONTALETADAS A CADA 2,00M, REAPROVEITAMENTO (2X),
INCLUSIVE ACOMPANHAMENTO DE EQUIPE TOPOGRÁFICA PARA
MARCAÇÃO DE PONTO TOPOGRÁFICO</t>
  </si>
  <si>
    <t>ESCAVAÇÃO MANUAL DE VALA COM PROFUNDIDADE MENOR OU
IGUAL A 1,5M, INCLUSIVE DESCARGA LATERAL</t>
  </si>
  <si>
    <t xml:space="preserve"> LASTRO DE CONCRETO MAGRO, INCLUSIVE TRANSPORTE,
LANÇAMENTO E ADENSAMENTO</t>
  </si>
  <si>
    <t xml:space="preserve"> FORNECIMENTO DE CONCRETO ESTRUTURAL, USINADO
BOMBEADO, COM FCK 20MPA, INCLUSIVE LANÇAMENTO,
ADENSAMENTO E ACABAMENTO</t>
  </si>
  <si>
    <t xml:space="preserve"> CORTE, DOBRA E MONTAGEM DE AÇO CA-50, DIÂMETRO (6,3MM A
12,5MM), INCLUSIVE ESPAÇADOR</t>
  </si>
  <si>
    <t xml:space="preserve"> FÔRMA E DESFORMA DE TÁBUA E SARRAFO,
REAPROVEITAMENTO (5X), EXCLUSIVE ESCORAMENTO</t>
  </si>
  <si>
    <t>COMPACTAÇÃO MECANIZADA DE ATERRO COM PLACA
VIBRATÓRIA, INCLUSIVE ESPALHAMENTO MANUAL</t>
  </si>
  <si>
    <t>REVESTIMENTO COM IMPERMEABILIZANTE EM DUAS (2)
CAMADAS SOBREPOSTAS DE ARGAMASSA, TRAÇO 1:3 (CIMENTO
E AREIA) COM ADITIVO IMPERMEABILIZANTE, ESP. 20MM,
INCLUSIVE PINTURA COM DUAS (2) DEMÃOS COM EMULSÃO</t>
  </si>
  <si>
    <t xml:space="preserve"> FÔRMA E DESFORMA DE COMPENSADO PLASTIFICADO, ESP.
12MM, REAPROVEITAMENTO (5X), EXCLUSIVE ESCORAMENTO</t>
  </si>
  <si>
    <t>CIMBRAMENTO PARA LAJE PRÉ-MOLDADA COM ESCORAMENTO
METÁLICO, TIPO "A", ALTURA DE (200 ATÉ 310)CM, INCLUSIVE
DESCARGA, MONTAGEM, DESMONTAGEM E CARGA</t>
  </si>
  <si>
    <t xml:space="preserve"> ESCORAMENTO METÁLICO PARA LAJE E VIGA EM CONCRETO
ARMADO, TIPO "A", ALTURA DE (200 ATÉ 310)CM, INCLUSIVE
DESCARGA, MONTAGEM, DESMONTAGEM E CARGA</t>
  </si>
  <si>
    <t xml:space="preserve"> ESCORAMENTO METÁLICO PARA VIGA EM CONCRETO ARMADO,
TIPO "A", ALTURA DE (200 ATÉ 310)CM, EXCLUSIVE DESCARGA,
MONTAGEM, DESMONTAGEM E CARGA</t>
  </si>
  <si>
    <t xml:space="preserve">LAJE PRÉ-MOLDADA UNIDIRECIONAL COM ENCHIMENTO EM
POLIESTIRENO EXPANDIDO (EPS), CAPEAMENTO DE 4CM,
SOBRECARGA DE 100KG/M2, ALTURA TOTAL DE 11CM E VÃO
LIVRE MÁXIMO DE 3M, INCLUSIVE CONCRETO ESTRUTURAL,
USINADO BOMBEADO COM FCK DE 20MPA, EXCLUSIVE TELA
ARMADA E CIMBRAMENTO </t>
  </si>
  <si>
    <t>LAJE PRÉ-MOLDADA UNIDIRECIONAL COM ENCHIMENTO EM
POLIESTIRENO EXPANDIDO (EPS), CAPEAMENTO DE 4CM,
SOBRECARGA DE 100KG/M2, ALTURA TOTAL DE 11CM E VÃO
LIVRE MÁXIMO DE 4M, INCLUSIVE CONCRETO ESTRUTURAL,
USINADO BOMBEADO COM FCK DE 20MPA, EXCLUSIVE TELA
ARMADA E CIMBRAMENTO</t>
  </si>
  <si>
    <t xml:space="preserve"> LAJE MACIÇA 15 CM DE CONCRETO 13,5 MPa COM ADITIVO
IMPERMEABILIZANTE, ARMAÇÃO, FÔRMA , DESFORMA ( FUNDO
CAIXA DÁGUA E COBERTURA)</t>
  </si>
  <si>
    <t xml:space="preserve"> PINTURA IMPERMEABILIZANTE COM ARGAMASSA POLIMÉRICA</t>
  </si>
  <si>
    <t>ALVENARIA DE VEDAÇÃO COM TIJOLO CERÂMICO FURADO, ESP.
14CM, PARA REVESTIMENTO, INCLUSIVE ARGAMASSA PARA
ASSENTAMENTO</t>
  </si>
  <si>
    <t>CHAPISCO COM ARGAMASSA, TRAÇO 1:3 (CIMENTO E AREIA), ESP
. 5MM, APLICADO EM ALVENARIA/ESTRUTURA DE CONCRETO
COM COLHER, INCLUSIVE ARGAMASSA COM PREPARO
MECANIZADO</t>
  </si>
  <si>
    <t xml:space="preserve"> EMBOÇO COM ARGAMASSA, TRAÇO 1:6 (CIMENTO E AREIA), ESP.
20MM, APLICAÇÃO MANUAL, INCLUSIVE ARGAMASSA COM
PREPARO MECANIZADO, EXCLUSIVE CHAPISCO</t>
  </si>
  <si>
    <t>REBOCO COM ARGAMASSA, TRAÇO 1:2:8 (CIMENTO, CAL E AREIA)
, ESP. 20MM, APLICAÇÃO MANUAL, INCLUSIVE ARGAMASSA COM
PREPARO MECANIZADO, EXCLUSIVE CHAPISCO</t>
  </si>
  <si>
    <t>REVESTIMENTO COM CERÂMICA APLICADO EM PAREDE,
ACABAMENTO ESMALTADO, AMBIENTE INTERNO/EXTERNO,
PADRÃO EXTRA, DIMENSÃO DA PEÇA ATÉ 2025 CM2, PEI III,
ASSENTAMENTO COM ARGAMASSA INDUSTRIALIZADA, INCLUSIVE
REJUNTAMENTO</t>
  </si>
  <si>
    <t>FORRO EM CHAPA DE GESSO ACARTONADO, ESP. 12,5MM, COM
FIXAÇÃO DO TIPO ARAMADO, EXCLUSIVE PERFIL TABICA, SANCA
E MOLDURA, INCLUSIVE ACESSÓRIOS E FIXAÇÃO</t>
  </si>
  <si>
    <t xml:space="preserve"> APLICAÇÃO DE LONA PRETA, ESP. 150 MICRAS, INCLUSIVE
FORNECIMENTO</t>
  </si>
  <si>
    <t>CONTRAPISO DESEMPENADO COM ARGAMASSA, TRAÇO 1:3 (
CIMENTO E AREIA), ESP. 20MM</t>
  </si>
  <si>
    <t>PISO CIMENTADO COM ARGAMASSA, TRAÇO 1:3 (CIMENTO E
AREIA), COM ADITIVO IMPERMEABILIZANTE, ESP. 25MM,
ACABAMENTO DESEMPENADO E FELTRADO</t>
  </si>
  <si>
    <t xml:space="preserve"> REVESTIMENTO COM CERÂMICA APLICADO EM PISO,
ACABAMENTO ESMALTADO, AMBIENTE INTERNO, PADRÃO EXTRA,
DIMENSÃO DA PEÇA ATÉ 2025 CM2, PEI V, ASSENTAMENTO COM
ARGAMASSA INDUSTRIALIZADA, INCLUSIVE REJUNTAMENTO</t>
  </si>
  <si>
    <t xml:space="preserve"> RODAPÉ COM REVESTIMENTO EM CERÂMICA ESMALTADA
COMERCIAL, ALTURA 10CM, PEI IV, ASSENTAMENTO COM
ARGAMASSA INDUSTRIALIZADA, INCLUSIVE REJUNTAMENTO</t>
  </si>
  <si>
    <t xml:space="preserve"> SOLEIRA EM GRANITO, NA COR CINZA ANDORINHA, ESP. 2CM,
INCLUSIVE REJUNTAMENTO</t>
  </si>
  <si>
    <t xml:space="preserve">ENGRADAMENTO PARA TELHADO DE FIBROCIMENTO ONDULADA </t>
  </si>
  <si>
    <t xml:space="preserve"> COBERTURA EM TELHA DE FIBROCIMENTO, TIPO ONDULADA, ESP
. 8MM, COM RECOBRIMENTO TRANSVERSAL E LONGITUDINAL,
EXCLUSIVE CUMEEIRA E ENGRADAMENTO, INCLUSIVE
ACESSÓRIOS DE FIXAÇÃO E IÇAMENTO MANUAL VERTICAL</t>
  </si>
  <si>
    <t>CUMEEIRA DE EM TELHA DE FIBROCIMENTO,TIPO CALHA
ESTRUTURAL, LARGURA 49CM, (CANALETE 49/KALHETA),
INCLUSIVE ACESSÓRIOS PARA FIXAÇÃO, FORNECIMENTO,
INSTALAÇÃO E IÇAMENTO MANUAL VERTICAL</t>
  </si>
  <si>
    <t>RUFO E CONTRARRUFO EM CHAPA GALVANIZADA, ESP. 0,5MM (
GSG-26), COM DESENVOLVIMENTO DE 20CM, INCLUSIVE
IÇAMENTO MANUAL VERTICAL</t>
  </si>
  <si>
    <t>CALHA EM CHAPA GALVANIZADA, ESP. 0,65MM (GSG-24), COM
DESENVOLVIMENTO DE 100CM, INCLUSIVE IÇAMENTO MANUAL
VERTICAL</t>
  </si>
  <si>
    <t>CONDUTOR CIRCULAR DE ÁGUA PLUVIAL PARA DO TELHADO EM
TUBO DE PVC, DIÂMETRO DE 100MM, INCLUSIVE CONEXÕES E
SUPORTES</t>
  </si>
  <si>
    <t xml:space="preserve"> ENGRADAMENTO PARA TELHAS CERÂMICA OU CONCRETO EM
MADEIRA </t>
  </si>
  <si>
    <t>COBERTURA EM TELHA CERÂMICA, TIPO PLAN, INCLUSIVE
FIXAÇÃO, EXCLUSIVE ENGRADAMENTO E MANTA ISOLANTE/
TÉRMICA</t>
  </si>
  <si>
    <t xml:space="preserve"> PINTURA ACRÍLICA EM PAREDE, DUAS (2) DEMÃOS, EXCLUSIVE
SELADOR ACRÍLICO E MASSA ACRÍLICA/CORRIDA (PVA)</t>
  </si>
  <si>
    <t xml:space="preserve"> PINTURA ESMALTE EM SUPERFÍCIE DE CONCRETO/ALVENARIA,
DUAS (2) DEMÃOS, EXCLUSIVE SELADOR ACRÍLICO E MASSA
ACRÍLICA/CORRIDA (PVA)</t>
  </si>
  <si>
    <t>PINTURA ACRÍLICA EM TETO, DUAS (2) DEMÃOS, EXCLUSIVE
SELADOR ACRÍLICO E MASSA ACRÍLICA/CORRIDA (PVA)</t>
  </si>
  <si>
    <t>PINTURA COM TEXTURA ACRÍLICA COM DESEMPENADEIRA DE
AÇO, INCLUSIVE UMA (1) DEMÃO DE SELADOR ACRÍLICO</t>
  </si>
  <si>
    <t xml:space="preserve"> EMASSAMENTO EM ESQUADRIA DE MADEIRA COM MASSA A ÓLEO
, DUAS (2) DEMÃOS, INCLUSIVE LIXAMENTO PARA PINTURA A
ÓLEO OU ESMALTE</t>
  </si>
  <si>
    <t xml:space="preserve"> PINTURA ESMALTE EM ESQUADRIA DE MADEIRA, DUAS (2)
DEMÃOS, INCLUSIVE UMA (1) DEMÃO DE FUNDO NIVELADOR,
EXCLUSIVE MASSA A ÓLEO</t>
  </si>
  <si>
    <t>PINTURA ESMALTE EM ESQUADRIAS DE FERRO, DUAS (2)
DEMÃOS, INCLUSIVE UMA (1) DEMÃO DE FUNDO ANTICORROSIVO</t>
  </si>
  <si>
    <t>JANELA EM ALUMÍNIO MÁXIM-AR COM ALTURA DE 80CM, LINHA 25/
SUPREMA, ACABAMENTO ANODIZADO NATURAL, INCLUSIVE
PERFIS, VIDRO LISO 4MM E INSTALAÇÃO, EXCLUSIVE FERRAGENS
PARA MÓDULO DE JANELA DE ALUMÍNIO MÁXIM-AR</t>
  </si>
  <si>
    <t>JANELA EM ALUMÍNIO DE CORRER COM 2 FOLHAS, LINHA 25/
SUPREMA, ACABAMENTO ANODIZADO NATURAL, INCLUSIVE
PERFIS, VIDRO 4MM E INSTALAÇÃO, EXCLUSIVE FERRAGENS
PARA JANELA DE ALUMÍNIO DE CORRER</t>
  </si>
  <si>
    <t xml:space="preserve"> PORTA VENEZIANA EM ALUMÍNIO DE ABRIR (60X210)CM
COMPLETA, LINHA 25/SUPREMA, ACABAMENTO ANODIZADO
NATURAL, INCLUSIVE PERFIS, FERRAGENS E INSTALAÇÃO</t>
  </si>
  <si>
    <t xml:space="preserve"> VIDRO TEMPERADO TRANSPARENTE INCOLOR, ESP. 10MM,
INCLUSIVE FIXAÇÃO E VEDAÇÃO COM GUARNIÇÃO/GAXETA DE
BORRACHA NEOPRENE, FORNECIMENTO E INSTALAÇÃO,
EXCLUSIVE CAIXILHO/PERFIL</t>
  </si>
  <si>
    <t xml:space="preserve"> PORTA DE ABRIR, 01 FOLHA, EM CHAPA 14 SAE 1020 - PADRÃO
SEDS</t>
  </si>
  <si>
    <t xml:space="preserve"> PORTA DE ABRIR, 02 FOLHAS, EM CHAPA 14 SAE 1020 - PADRÃO
SEDS</t>
  </si>
  <si>
    <t>PORTA DE MADEIRA COMPLETA, DIMENSÃO (80X210)CM, TIPO DE
ABRIR, UMA (1) FOLHA, ACABAMENTO NATURAL PARA PINTURA/
VERNIZ, TIPO PRANCHETA/SARRAFEADA, INCLUSIVE MARCO,
ALIZAR E FERRAGENS, EXCLUSIVE PINTURA/VERNIZ</t>
  </si>
  <si>
    <t>PORTA DE MADEIRA COMPLETA, DIMENSÃO (90X210)CM, TIPO DE
ABRIR, UMA (1) FOLHA, ACABAMENTO NATURAL PARA PINTURA/
VERNIZ, TIPO PRANCHETA/SARRAFEADA, INCLUSIVE MARCO,
ALIZAR E FERRAGENS, EXCLUSIVE PINTURA/VERNIZ</t>
  </si>
  <si>
    <t xml:space="preserve"> PORTA DE MADEIRA COMPLETA, DIMENSÃO (120X210)CM, TIPO DE
ABRIR, DUAS (2) FOLHA, COM REVESTIMENTO EM LAMINADO
MELAMÍNICO NAS DUAS (2) FACES, INCLUSIVE MARCO,
DOBRADIÇAS, FECHADURA E ALIZAR</t>
  </si>
  <si>
    <t xml:space="preserve"> VIDRO IMPRESSO (FANTASIA) TRANSLÚCIDO INCOLOR, ESP. 4MM,
INCLUSIVE FIXAÇÃO E VEDAÇÃO COM GUARNIÇÃO/GAXETA DE
BORRACHA NEOPRENE, FORNECIMENTO E INSTALAÇÃO,
EXCLUSIVE CAIXILHO/PERFIL</t>
  </si>
  <si>
    <t xml:space="preserve"> DIVISÓRIA EM GRANITO CINZA ANDORINHA, ESP. 3CM, INCLUSIVE
INSTALAÇÃO, FERRAGENS EM LATÃO CROMADO E ACESSÓRIOS</t>
  </si>
  <si>
    <t xml:space="preserve"> DIVISÓRIA EM PAINEL REMOVÍVEL, NÚCLEO COMPENSADO NAVAL
, EM PERFIL DE AÇO TIPO C, INCLUSIVE ACESSÓRIOS, EXCLUSIVE
VIDRO E FERRAGENS PARA CONFECÇÃO DE PORTA DE
DIVISÓRIA</t>
  </si>
  <si>
    <t xml:space="preserve"> BANCADA EM GRANITO CINZA ANDORINHA E = 3 CM, APOIADA EM
CONSOLE DE METALON 20 X 30 MM</t>
  </si>
  <si>
    <t>RODABANCA/FRONTÃO PARA BANCADA EM GRANITO, COR CINZA
ANDORINHA, ESP. 2CM, ALTURA DE 10CM, INCLUSIVE
REJUNTAMENTO EM MASSA PLÁSTICA NA COR DA PEDRA</t>
  </si>
  <si>
    <t>APILOAMENTO MECANIZADO EM FUNDO DE VALA COM PLACA
VIBRATÓRIA, EXCLUSIVE ESCAVAÇÃO</t>
  </si>
  <si>
    <t xml:space="preserve"> COMPACTAÇÃO MECANIZADA DE ATERRO COM PLACA
VIBRATÓRIA, INCLUSIVE ESPALHAMENTO MANUAL</t>
  </si>
  <si>
    <t xml:space="preserve"> FORNECIMENTO E ASSENTAMENTO DE TUBO PVC RÍGIDO
SOLDÁVEL, ÁGUA FRIA, DN 50 MM (1.1/2"), INCLUSIVE CONEXÕES</t>
  </si>
  <si>
    <t>TORNEIRA DE BOIA, TIPO ROSCÁVEL 1.1/2", EXCLUSIVE
ADAPTADOR SOLDÁVEL DE PVC COM FLANGES E ANEL PARA
CAIXA DÁGUA</t>
  </si>
  <si>
    <t>ADAPTADOR SOLDÁVEL DE PVC MARROM COM FLANGES E ANEL
PARA CAIXA DÁGUA Ø 50 MM X 1 1/2"</t>
  </si>
  <si>
    <t>FORNECIMENTO E ASSENTAMENTO DE TUBO PVC RÍGIDO
SOLDÁVEL, ÁGUA FRIA, DN 32 MM (1") , INCLUSIVE CONEXÕES</t>
  </si>
  <si>
    <t>FORNECIMENTO E ASSENTAMENTO DE TUBO PVC RÍGIDO
SOLDÁVEL, ÁGUA FRIA, DN 20 MM (1/2"), INCLUSIVE CONEXÕES</t>
  </si>
  <si>
    <t xml:space="preserve"> REGISTRO DE GAVETA, TIPO BASE, ROSCÁVEL 1" (PARA TUBO
SOLDÁVEL OU PPR DN 32MM/CPVC DN 28MM), INCLUSIVE
ACABAMENTO (PADRÃO MÉDIO) E CANOPLA CROMADOS</t>
  </si>
  <si>
    <t xml:space="preserve"> REGISTRO DE GAVETA, TIPO BASE, ROSCÁVEL 1/2" (PARA TUBO
SOLDÁVEL OU PPR DN 20MM/CPVC DN 15MM), INCLUSIVE
ACABAMENTO (PADRÃO MÉDIO) E CANOPLA CROMADOS</t>
  </si>
  <si>
    <t>PONTO DE EMBUTIR PARA ÁGUA FRIA EM TUBO DE PVC RÍGIDO
SOLDÁVEL, DN 20MM (1/2"), EMBUTIDO NA ALVENARIA COM
DISTÂNCIA DE ATÉ CINCO (5) METROS DA TOMADA DE ÁGUA,
INCLUSIVE CONEXÕES E FIXAÇÃO DO TUBO COM ENCHIMENTO
DO RASGO NA ALVENARIA/CONCRETO COM ARGAMASSA</t>
  </si>
  <si>
    <t xml:space="preserve"> 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t>
  </si>
  <si>
    <t xml:space="preserve"> PONTO DE EMBUTIR PARA ESGOTO EM TUBO PVC RÍGIDO, PBV -
SÉRIE NORMAL, DN 50MM (2"), EMBUTIDO EM PISO COM
DISTÂNCIA DE ATÉ CINCO (5) METROS DO RAMAL DE ESGOTO,
EXCLUSIVE ESCAVAÇÃO, INCLUSIVE CONEXÕES E FIXAÇÃO DO
TUBO COM ENCHIMENTO DO RASGO NO CONCRETO COM
ARGAMASSA</t>
  </si>
  <si>
    <t xml:space="preserve"> PONTO DE EMBUTIR PARA ESGOTO EM TUBO PVC RÍGIDO, PBV -
SÉRIE NORMAL, DN 100MM (4"), EMBUTIDO EM PISO COM
DISTÂNCIA DE ATÉ CINCO (5) METROS DO RAMAL DE ESGOTO,
INCLUSIVE CONEXÕES E FIXAÇÃO DO TUBO COM ENCHIMENTO
DO RASGO NO CONCRETO COM ARGAMASSA</t>
  </si>
  <si>
    <t xml:space="preserve"> CAIXA SIFONADA EM PVC COM GRELHA QUADRADA150 X 150 X 50
MM</t>
  </si>
  <si>
    <t xml:space="preserve"> RALO SIFONADO PVC CILINDRÍCO 100 X 70 X 40 MM COM GRELHA
REDONDA</t>
  </si>
  <si>
    <t xml:space="preserve"> BACIA SANITÁRIA (VASO) DE LOUÇA COM CAIXA ACOPLADA, COR
BRANCA, INCLUSIVE ACESSÓRIOS DE FIXAÇÃO/VEDAÇÃO,
ENGATE FLEXÍVEL METÁLICO, FORNECIMENTO, INSTALAÇÃO E
REJUNTAMENTO</t>
  </si>
  <si>
    <t>BACIA SANITÁRIA (VASO) DE LOUÇA CONVENCIONAL, ACESSÍVEL
(PCR/PMR), COR BRANCA, COM INSTALAÇÃO DE SÓCULO NA
BASE DA BACIA ACOMPANHANDO A PROJEÇÃO DA BASE, NÃO
ULTRAPASSANDO ALTURA DE 5CM, ALTURA MÁXIMA DE 46CM (
BACIA+ASSENTO), INCLUSIVE ACESSÓRIOS DE FIXAÇÃO/
VEDAÇÃO, VÁLVULA DE DESCARGA METÁLICA COM
ACIONAMENTO DUPLO, TUBO DE LIGAÇÃO DE LATÃO COM
CANOPLA, FORNECIMENTO, INSTALAÇÃO E REJUNTAMENTO,
EXCLUSIVE ASSENTO</t>
  </si>
  <si>
    <t xml:space="preserve"> LAVATÓRIO DE CANTO DE LOUÇA BRANCA SEM COLUNA,
TAMANHO PEQUENO, INCLUSIVE ACESSÓRIOS DE FIXAÇÃO COM
PARAFUSO CASTELO, VÁLVULA DE ESCOAMENTO DE METAL COM
ACABAMENTO CROMADO, SIFÃO DE METAL TIPO COPO COM
ACABAMENTO CROMADO, FORNECIMENTO, INSTALAÇÃO E
REJUNTAMENTO, EXCLUSIVE TORNEIRA E ENGATE FLEXÍVEL</t>
  </si>
  <si>
    <t xml:space="preserve"> LAVATÓRIO DE LOUÇA BRANCA SEM COLUNA, TAMANHO MÉDIO,
INCLUSIVE ACESSÓRIOS DE FIXAÇÃO, VÁLVULA DE ESCOAMENTO
DE METAL COM ACABAMENTO CROMADO, SIFÃO DE METAL TIPO
COPO COM ACABAMENTO CROMADO, FORNECIMENTO,
INSTALAÇÃO E REJUNTAMENTO, EXCLUSIVE TORNEIRA E
ENGATE FLEXÍVEL</t>
  </si>
  <si>
    <t xml:space="preserve"> CUBA DE LOUÇA BRANCA DE EMBUTIR, FORMATO OVAL,
INCLUSIVE VÁLVULA DE ESCOAMENTO DE METAL COM
ACABAMENTO CROMADO, SIFÃO DE METAL TIPO COPO COM
ACABAMENTO CROMADO, FORNECIMENTO E INSTALAÇÃO</t>
  </si>
  <si>
    <t xml:space="preserve"> TANQUE DE MÁRMORE SINTÉTICO DUPLO, CAPACIDADE 37
LITROS, INCLUSIVE ACESSÓRIOS DE FIXAÇÃO, VÁLVULA DE
ESCOAMENTO DE METAL COM ACABAMENTO CROMADO, SIFÃO
DE METAL TIPO COPO COM ACABAMENTO CROMADO,
FORNECIMENTO E INSTALAÇÃO, EXCLUSIVE TORNEIR</t>
  </si>
  <si>
    <t xml:space="preserve"> CUBA EM AÇO INOXIDÁVEL DE SOBREPOR, AISI 304, APLICAÇÃO
PARA TANQUE (630X515X260MM), ASSENTAMENTO EM BANCADA,
INCLUSIVE VÁLVULA DE ESCOAMENTO DE METAL COM
ACABAMENTO CROMADO, SIFÃO DE METAL TIPO COPO COM
ACABAMENTO CROMADO, FORNECIMENTO E INSTALAÇÃO</t>
  </si>
  <si>
    <t xml:space="preserve"> TORNEIRA METÁLICA HOSPITALAR, ABERTURA ALAVANCA 1/4 DE
VOLTA, ACABAMENTO CROMADO, COM AREJADOR, APLICAÇÃO
DE PAREDE, INCLUSIVE FORNECIMENTO E INSTALAÇÃO</t>
  </si>
  <si>
    <t xml:space="preserve"> TORNEIRA METÁLICA PARA LAVATÓRIO, ABERTURA 1/4 DE VOLTA,
ACABAMENTO CROMADO, COM AREJADOR, APLICAÇÃO DE MESA
, INCLUSIVE ENGATE FLEXÍVEL METÁLICO, FORNECIMENTO E
INSTALAÇÃO</t>
  </si>
  <si>
    <t xml:space="preserve"> CHUVEIRO ELÉTRICO BRANCO, TENSÃO 127V/220V, POTÊNCIA
4600W/5500W, INCLUSIVE BRAÇO, FORNECIMENTO E INSTALAÇÃO</t>
  </si>
  <si>
    <t xml:space="preserve"> BEBEDOURO GEMINADO MG-F 80 INOX </t>
  </si>
  <si>
    <t xml:space="preserve"> APILOAMENTO MECANIZADO EM FUNDO DE VALA COM PLACA
VIBRATÓRIA, EXCLUSIVE ESCAVAÇÃO</t>
  </si>
  <si>
    <t>FORNECIMENTO E ASSENTAMENTO DE TUBO PVC RÍGIDO,
COLETOR DE ESGOTO LISO (JEI), DN 100 MM (4"), INCLUSIVE
CONEXÕES</t>
  </si>
  <si>
    <t xml:space="preserve"> CAIXA DE ESGOTO DE INSPEÇÃO/PASSAGEM EM ALVENARIA (
40X40X40CM), REVESTIMENTO EM ARGAMASSA COM ADITIVO
IMPERMEABILIZANTE, COM TAMPA DE CONCRETO, INCLUSIVE
ESCAVAÇÃO, REATERRO E TRANSPORTE E RETIRADA DO
MATERIAL ESCAVADO (EM CAÇAMBA)</t>
  </si>
  <si>
    <t xml:space="preserve"> CAIXA DE ESGOTO DE INSPEÇÃO/PASSAGEM EM ALVENARIA (
40X40X60CM), REVESTIMENTO EM ARGAMASSA COM ADITIVO
IMPERMEABILIZANTE, COM TAMPA DE CONCRETO, INCLUSIVE
ESCAVAÇÃO, REATERRO E TRANSPORTE E RETIRADA DO
MATERIAL ESCAVADO (EM CAÇAMBA)</t>
  </si>
  <si>
    <t xml:space="preserve"> ENTRADA DE ENERGIA AÉREA, TIPO C3, PADRÃO CEMIG, CARGA
INSTALADA DE 23,1KVA ATÉ 27KVA, TRIFÁSICO, COM SAÍDA
SUBTERRÂNEA, INCLUSIVE POSTE, CAIXA PARA MEDIDOR,
DISJUNTOR, BARRAMENTO, ATERRAMENTO E ACESSÓRIOS</t>
  </si>
  <si>
    <t>ELETRODUTO DE PVC RÍGIDO ROSCÁVEL, DN 25 MM (1"),
INCLUSIVE CONEXÕES, SUPORTES E FIXAÇÃO</t>
  </si>
  <si>
    <t xml:space="preserve"> CAIXA DE PASSAGEM EM ALVENARIA E TAMPA DE CONCRETO,
FUNDO DE BRITA, TIPO 1, 25 X 25 X 50 CM, INCLUSIVE
ESCAVAÇÃO, REATERRO E BOTA-FORA</t>
  </si>
  <si>
    <t xml:space="preserve"> CABO DE COBRE FLEXÍVEL, CLASSE 5, ISOLAMENTO TIPO EPR/
HEPR, NÃO HALOGENADO, ANTICHAMA, TERMOFIXO, UNIPOLAR,
SEÇÃO 10 MM2, 90°C, 0,6/1KV</t>
  </si>
  <si>
    <t>QUADRO DE DISTRIBUIÇÃO PARA 12 MÓDULOS COM
BARRAMENTO E CHAVE</t>
  </si>
  <si>
    <t>DISJUNTOR DE PROTEÇÃO DIFERENCIAL RESIDUAL (DR),
BIPOLAR, TIPO DIN, CORRENTE NOMINAL DE 25A, ALTA
SENSIBILIDADE, CORRENTE DIFERENCIAL RESIDUAL NOMINAL
COM ATUAÇÃO DE 30MA</t>
  </si>
  <si>
    <t>CABO DE COBRE FLEXÍVEL, CLASSE 5, ISOLAMENTO TIPO LSHF/
ATOX, NÃO HALOGENADO, ANTICHAMA, TERMOPLÁSTICO,
UNIPOLAR, SEÇÃO 2,5 MM2, 70°C, 450/750V</t>
  </si>
  <si>
    <t>CABO DE COBRE FLEXÍVEL, CLASSE 5, ISOLAMENTO TIPO LSHF/
ATOX, NÃO HALOGENADO, ANTICHAMA, TERMOPLÁSTICO,
UNIPOLAR, SEÇÃO 4 MM2, 70°C, 450/750V</t>
  </si>
  <si>
    <t xml:space="preserve"> CABO DE COBRE FLEXÍVEL, CLASSE 5, ISOLAMENTO TIPO LSHF/
ATOX, NÃO HALOGENADO, ANTICHAMA, TERMOPLÁSTICO,
UNIPOLAR, SEÇÃO 6 MM2, 70°C, 450/750V</t>
  </si>
  <si>
    <t>CABO DE COBRE FLEXÍVEL, CLASSE 5, ISOLAMENTO TIPO LSHF/
ATOX, NÃO HALOGENADO, ANTICHAMA, TERMOPLÁSTICO,
UNIPOLAR, SEÇÃO 10 MM2, 70°C, 450/750V</t>
  </si>
  <si>
    <t>ELETRODUTO FLEXÍVEL CORRUGADO, PVC, ANTI-CHAMA, DN
20MM (1/2"), APLICADO EM ALVENARIA, EXCLUSIVE RASGO</t>
  </si>
  <si>
    <t xml:space="preserve"> ELETRODUTO FLEXÍVEL CORRUGADO, PVC, ANTI-CHAMA, DN
32MM (1"), APLICADO EM ALVENARIA, EXCLUSIVE RASGO</t>
  </si>
  <si>
    <t>PONTO DE EMBUTIR PARA UM (1) INTERRUPTOR SIMPLES (10A-
250V), COM PLACA 4"X2" DE UM (1) POSTO, COM ELETRODUTO
FLEXÍVEL CORRUGADO, ANTI-CHAMA, DN 25MM (3/4"), EMBUTIDO
NA ALVENARIA E CABO DE COBRE FLEXÍVEL, CLASSE 5,
ISOLAMENTO TIPO LSHF/ATOX, NÃO HALOGENADO, SEÇÃO 1,
5MM2 (70°C-450/750V), COM DISTÂNCIA DE ATÉ DEZ (10) METROS
DO PONTO DE DERIVAÇÃO, INCLUSIVE CAIXA DE LIGAÇÃO,
SUPORTE E FIXAÇÃO DO ELETRODUTO COM ENCHIMENTO DO
RASGO NA ALVENARIA/CONCRETO COM ARGAMASSA</t>
  </si>
  <si>
    <t xml:space="preserve"> PONTO DE EMBUTIR PARA UMA (1) LUMINÁRIA,COM ELETRODUTO
DE PVC RÍGIDO ROSCÁVEL, DN 20MM (3/4"), EMBUTIDO NA LAJE E
CABO DE COBRE FLEXÍVEL, CLASSE 5, ISOLAMENTO TIPO LSHF/
ATOX, NÃO HALOGENADO, SEÇÃO 1,5MM2 (70°C-450/750V), COM
DISTÂNCIA DE ATÉ CINCO (5) METROS DO PONTO DE DERIVAÇÃO,
EXCLUSIVE LUMINÁRIA, INCLUSIVE CAIXA DE LIGAÇÃO
OCTOGONAL, SUPORTE E FIXAÇÃO DO ELETRODUTO</t>
  </si>
  <si>
    <t xml:space="preserve"> PONTO DE EMBUTIR PARA UMA (1) TOMADA PADRÃO, TRÊS (3)
POLOS (2P+T/10A-250V), COM PLACA 4"X2" DE UM (1) POSTO, COM
ELETRODUTO FLEXÍVEL CORRUGADO, ANTI-CHAMA, DN 25MM (3/
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</si>
  <si>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 xml:space="preserve"> LUMINÁRIA COMERCIAL CHANFRADA DE SOBREPOR COMPLETA,
PARA DUAS (2) LÂMPADAS TUBULARES FLUORESCENTE 2X16WØT8,
FORNECIMENTO E INSTALAÇÃO, INCLUSIVE BASE, REATOR E
LÂMPADAS</t>
  </si>
  <si>
    <t>LUMINÁRIA ARANDELA TIPO MEIA-LUA COMPLETA, DIÂMETRO 25
CM, PARA UMA (1) LÂMPADA LED, POTÊNCIA 20W, BULBO A70,
FORNECIMENTO E INSTALAÇÃO, INCLUSIVE BASE E LÂMPADA</t>
  </si>
  <si>
    <t>LUMINÁRIA COMERCIAL CHANFRADA DE SOBREPOR COMPLETA,
PARA UMA (1) LÂMPADA TUBULAR FLUORESCENTE 1X16W-ØT8,
FORNECIMENTO E INSTALAÇÃO, INCLUSIVE BASE, REATOR E
LÂMPADA</t>
  </si>
  <si>
    <t>LUMINÁRIA ARANDELA TIPO TARTARUGA COMPLETA, PARA UMA (
1) LÂMPADA FLUORESCENTE COMPACTA 20W, FORNECIMENTO E
INSTALAÇÃO, INCLUSIVE BASE E LÂMPADA</t>
  </si>
  <si>
    <t xml:space="preserve"> LUMINÁRIA DE EMERGÊNCIA AUTÔNOMA, TIPO LED POTÊNCIA
TOTAL DE 2W, FORNECIMENTO E INSTALAÇÃO</t>
  </si>
  <si>
    <t>CABO UTP 4 PARES CATEGORIA 6 COM REVESTIMENTO EXTERNO
NÃO PROPAGANTE A CHAMA</t>
  </si>
  <si>
    <t>CONJUNTO DE DUAS (2) TOMADAS DE DADOS (CONECTOR RJ45
CAT.6E), COM PLACA 4"X4" DE DOIS (2) POSTOS, INCLUSIVE
FORNECIMENTO, INSTALAÇÃO, SUPORTE, MÓDULO E PLACA</t>
  </si>
  <si>
    <t>CONJUNTO DE UMA (1) TOMADA TELEFÔNICA (CONECTOR RJ11),
COM PLACA 4"X2" DE UM (1) POSTO, INCLUSIVE FORNECIMENTO,
INSTALAÇÃO, SUPORTE, MÓDULO E PLACA</t>
  </si>
  <si>
    <t xml:space="preserve"> CONJUNTO DE DUAS (2) TOMADAS TELEFÔNICAS (CONECTOR
RJ11), COM PLACA 4"X4" DE DOIS (2) POSTOS, INCLUSIVE
FORNECIMENTO, INSTALAÇÃO, SUPORTE, MÓDULO E PLACA</t>
  </si>
  <si>
    <t>CERTIFICAÇÃO DE GARANTIA DE TRANSMISSÃO DE CABOS
LÓGICOS CAT. 5/6</t>
  </si>
  <si>
    <t xml:space="preserve"> CABO COAXIAL RG-59, IMPEDÂNCIA 75 OHM, CONDUTOR EM FIO
DE COBRE NU, BLINDAGEM TRANÇA FORMADA POR FIOS DE
COBRE MALHA 90%</t>
  </si>
  <si>
    <t xml:space="preserve"> HASTE DE AÇO COBREADA PARA ATERRAMENTO DIÂMETRO 3/4"X
2400 MM,CONFORME PADRÕES TELEBRÁS</t>
  </si>
  <si>
    <t>CAIXA DE INSPEÇÃO EM PVC, DIÂMETRO DE 30CM, ALTURA DE
30CM, COM TAMPA EM FERRO FUNDIDO, EXCLUSIVE HASTE DE
ATERRAMENTO, INCLUSIVE INSTALAÇÃO</t>
  </si>
  <si>
    <t xml:space="preserve"> CAIXA DE EQUALIZAÇÃO DE EMBUTIR COM SAIDAS NAS PARTES
SUPERIOR E INFERIOR PARA ELETRODUTO DE 25MM (1"), 20 X 20
X 14 MM, COM NOVE TERMINAIS</t>
  </si>
  <si>
    <t xml:space="preserve">BARRA CHATA DE ALUMÍNIO 3/4" X 1/4" X 3M </t>
  </si>
  <si>
    <t>CABO DE COBRE NU #16MM2 - 7 FIOSX1,70MM, PARA ELEMENTOS
DE CAPTAÇÃO/ ANEL DE CINTAMENTO/ DESCIDA (SPDA),
INCLUSIVE SUPORTE E ISOLADOR</t>
  </si>
  <si>
    <t>ALVENARIA DE VEDAÇÃO COM BLOCO DE CONCRETO, ESP. 14CM,
COM ACABAMENTO APARENTE, INCLUSIVE ARGAMASSA PARA
ASSENTAMENTO</t>
  </si>
  <si>
    <t xml:space="preserve"> PINTURA COM TEXTURA ACRÍLICA COM DESEMPENADEIRA DE
AÇO, INCLUSIVE UMA (1) DEMÃO DE SELADOR ACRÍLICO</t>
  </si>
  <si>
    <t>PASSEIOS DE CONCRETO E = 6 CM, FCK = 10 MPA, JUNTA SECA</t>
  </si>
  <si>
    <t>REGULARIZAÇÃO E COMPACTAÇÃO DE TERRENO MANUAL COM
SOQUETE, EXCLUSIVE DESMATAMENTO, DESTOCAMENTO,
LIMPEZA/ROÇADA DO TERRENO</t>
  </si>
  <si>
    <t>PLANTIO DE GRAMA BATATAIS EM PLACAS, INCLUSIVE TERRA
VEGETAL E CONSERVAÇÃO POR TRINTA (30) DIAS</t>
  </si>
  <si>
    <t xml:space="preserve"> DEMOLIÇÃO MANUAL DE ALVENARIA DE TIJOLO CERÂMICO OU
BLOCO DE CONCRETO, INCLUSIVE AFASTAMENTO E
EMPILHAMENTO, EXCLUSIVE TRANSPORTE E RETIRADA DO
MATERIAL DEMOLIDO</t>
  </si>
  <si>
    <t>DEMOLIÇÃO MANUAL DE CONCRETO ARMADO, INCLUSIVE
AFASTAMENTO E EMPILHAMENTO, EXCLUSIVE TRANSPORTE E
RETIRADA DO MATERIAL DEMOLIDO</t>
  </si>
  <si>
    <t xml:space="preserve"> DEMOLIÇÃO MANUAL DE PISO CERÂMICO OU LADRILHO
HIDRÁULICO, INCLUSIVE AFASTAMENTO E EMPILHAMENTO,
EXCLUSIVE DEMOLIÇÃO DE CONTRAPISO, TRANSPORTE E
RETIRADA DO MATERIAL DEMOLIDO</t>
  </si>
  <si>
    <t>DEMOLIÇÃO MANUAL DE REVESTIMENTO CERÂMICO, AZULEJO
OU LADRILHO HIDRÁULICO, INCLUSIVE AFASTAMENTO E
EMPILHAMENTO, EXCLUSIVE DEMOLIÇÃO DO REBOCO OU
EMBOÇO, TRANSPORTE E RETIRADA DO MATERIAL DEMOLIDO</t>
  </si>
  <si>
    <t>REMOÇÃO MANUAL DE ENGRADAMENTO PARA TELHA TIPO
CERÂMICA OU CONCRETO, INCLUSIVE AFASTAMENTO E
EMPILHAMENTO, EXCLUSIVE TRANSPORTE E RETIRADA DO
MATERIAL REMOVIDO NÃO REAPROVEITÁVEL</t>
  </si>
  <si>
    <t xml:space="preserve"> REMOÇÃO MANUAL DE TELHA CERÂMICA, COM
REAPROVEITAMENTO, INCLUSIVE AFASTAMENTO E
EMPILHAMENTO, EXCLUSIVE TRANSPORTE E RETIRADA DO
MATERIAL REMOVIDO NÃO REAPROVEITÁVEL</t>
  </si>
  <si>
    <t xml:space="preserve"> REMOÇÃO MANUAL DE FOLHA DE PORTA OU JANELA DE MADEIRA
OU METÁLICA, COM REAPROVEITAMENTO, INCLUSIVE
AFASTAMENTO E EMPILHAMENTO, EXCLUSIVE TRANSPORTE E
RETIRADA DO MATERIAL REMOVIDO NÃO REAPROVEITÁVEL</t>
  </si>
  <si>
    <t xml:space="preserve"> REMOÇÃO MANUAL DE BANCADA DE PEDRA (MÁRMORE,
GRANITO, ARDÓSIA, MARMORITE, ETC.), COM
REAPROVEITAMENTO, INCLUSIVE RASGO EM ALVENARIA,
REMOÇÃO DE ACESSÓRIOS DE FIXAÇÃO, AFASTAMENTO E
EMPILHAMENTO, EXCLUSIVE TRANSPORTE E RETIRADA DO
MATERIAL REMOVIDO NÃO REAPROVEITÁVEL</t>
  </si>
  <si>
    <t>REMOÇÃO MANUAL DE DIVISÓRIA EM PEDRA (MÁRMORE,
GRANITO, ARDÓSIA, MARMORITE, ETC.), COM
REAPROVEITAMENTO, INCLUSIVE RASGO EM ALVENARIA,
REMOÇÃO DE ACESSÓRIOS DE FIXAÇÃO, AFASTAMENTO E
EMPILHAMENTO, EXCLUSIVE TRANSPORTE E RETIRADA DO
MATERIAL REMOVIDO NÃO REAPROVEITÁVEL</t>
  </si>
  <si>
    <t>REMOÇÃO DE LOUÇAS (LAVATÓRIO, BANHEIRA, PIA, VASO
SANITÁRIO, TANQUE), COM REAPROVEITAMENTO, INCLUSIVE
AFASTAMENTO E EMPILHAMENTO, EXCLUSIVE TRANSPORTE E
RETIRADA DO MATERIAL REMOVIDO NÃO REAPROVEITÁVEL</t>
  </si>
  <si>
    <t>CAIXA DE DRENAGEM DE INSPEÇÃO/PASSAGEM EM ALVENARIA (
40X40X60CM), REVESTIMENTO EM ARGAMASSA COM ADITIVO
IMPERMEABILIZANTE, COM TAMPA EM GRELHA, INCLUSIVE
ESCAVAÇÃO, REATERRO E TRANSPORTE E RETIRADA DO
MATERIAL ESCAVADO (EM CAÇAMBA)</t>
  </si>
  <si>
    <t xml:space="preserve"> CAIXA DE DRENAGEM DE INSPEÇÃO/PASSAGEM EM ALVENARIA (
30X30X40CM), REVESTIMENTO EM ARGAMASSA COM ADITIVO
IMPERMEABILIZANTE, COM TAMPA EM GRELHA, INCLUSIVE
ESCAVAÇÃO, REATERRO E TRANSPORTE E RETIRADA DO
MATERIAL ESCAVADO (EM CAÇAMBA)</t>
  </si>
  <si>
    <t>FORNECIMENTO E ASSENTAMENTO DE TUBO PVC RÍGIDO,
COLETOR DE ESGOTO LISO (JEI), DN 200 MM (8"), INCLUSIVE
CONEXÕES</t>
  </si>
  <si>
    <t xml:space="preserve"> ESCAVAÇÃO MANUAL DE VALA COM PROFUNDIDADE MENOR OU
IGUAL A 1,5M, INCLUSIVE DESCARGA LATERAL</t>
  </si>
  <si>
    <t>CAIXA DE PASSAGEM EM ALVENARIA E TAMPA DE CONCRETO,
FUNDO DE BRITA, TIPO 1, 25 X 25 X 50 CM, INCLUSIVE
ESCAVAÇÃO, REATERRO E BOTA-FORA</t>
  </si>
  <si>
    <t>CABO DE COBRE FLEXÍVEL, CLASSE 5, ISOLAMENTO TIPO EPR/
HEPR, NÃO HALOGENADO, ANTICHAMA, TERMOFIXO, UNIPOLAR,
SEÇÃO 2,5 MM2, 90°C, 0,6/1KV</t>
  </si>
  <si>
    <t xml:space="preserve"> LUMINÁRIA ARANDELA TIPO TARTARUGA COMPLETA, PARA UMA (
1) LÂMPADA FLUORESCENTE COMPACTA 20W, FORNECIMENTO E
INSTALAÇÃO, INCLUSIVE BASE E LÂMPADA</t>
  </si>
  <si>
    <t xml:space="preserve"> PASSEIOS DE CONCRETO E = 6 CM, FCK = 10 MPA, JUNTA SECA </t>
  </si>
  <si>
    <t xml:space="preserve"> GUIA DE MEIO-FIO, EM CONCRETO COM FCK 20MPA, PRÉ-
MOLDADA, MFC-01 PADRÃO DER-MG, DIMENSÕES (12X16,7X35)CM
, EXCLUSIVE SARJETA, INCLUSIVE ESCAVAÇÃO, APILOAMENTO E
TRANSPORTE COM RETIRADA DO MATERIAL ESCAVADO (EM
CAÇAMBA)</t>
  </si>
  <si>
    <t>Muro de arrimo em concreto, tipo OC.MA-01 (Execução, incluindo
fornecimento e transporte de todos os materiais)</t>
  </si>
  <si>
    <t>REATERRO MANUAL DE VALA, INCLUSIVE ESPALHAMENTO E
COMPACTAÇÃO MECANIZADA COM PLACA VIBRATÓRIA</t>
  </si>
  <si>
    <t>LASTRO DE CONCRETO MAGRO, INCLUSIVE TRANSPORTE,
LANÇAMENTO E ADENSAMENTO</t>
  </si>
  <si>
    <t xml:space="preserve"> PISO EM CONCRETO, USINADO CONVENCIONAL, FCK 15MPA, COM
TELA SOLDADA NERVURADA TIPO Q-138, ACABAMENTO POLÍDO
EM NÍVEL ZERO, ESP. 10CM, INCLUSIVE FORNECIMENTO,
LANÇAMENTO, ADENSAMENTO, EXCLUSIVE JUNTA DE DILATAÇÃO</t>
  </si>
  <si>
    <t xml:space="preserve"> GUARDA-CORPO EXTERNO, ALTURA 130CM, EM TUBO
GALVANIZADO, COM COSTURA, DIÂMETRO 2", ESP. 3MM, GRADIL
COM DIVISÃO HORIZONTAL EM TUBO GALVANIZADO, COM
COSTURA, DIÂMETRO 1", ESP. 3MM, EXCLUSIVE PINTURA</t>
  </si>
  <si>
    <t xml:space="preserve"> CORRIMÃO SIMPLES EM TUBO GALVANIZADO, COM COSTURA,
DIÂMETRO 1.1/2", ESP. 3MM, FIXADO EM ALVENARIA, INCLUSIVE
SUPORTE PARA CORRIMÃO EM BARRA CHATA (1"X1/2"),
EXCLUSIVE PINTURA</t>
  </si>
  <si>
    <t>LOCAÇÃO TOPOGRÁFICA DE VINTE UM (21) ATÉ CINQUENTA (50)
PONTOS REFERENCIAIS, INCLUSIVE ESTACA (PIQUETE) DE
MARCAÇÃO</t>
  </si>
  <si>
    <t>BARRA CHATA DE ALUMÍNIO 3/4" X 1/4" X 3M</t>
  </si>
  <si>
    <t xml:space="preserve">CABO TELEFÔNICO CI 50.10 </t>
  </si>
  <si>
    <t>BANCADA EM GRANITO CINZA ANDORINHA E = 3 CM, APOIADA EM
CONSOLE DE METALON 20 X 30 MM</t>
  </si>
  <si>
    <t>DIVISÓRIA EM PAINEL REMOVÍVEL, NÚCLEO COMPENSADO NAVAL
, EM PERFIL DE AÇO TIPO C, INCLUSIVE ACESSÓRIOS, EXCLUSIVE
VIDRO E FERRAGENS PARA CONFECÇÃO DE PORTA DE
DIVISÓRIA</t>
  </si>
  <si>
    <t>DIVISÓRIA EM GRANITO CINZA ANDORINHA, ESP. 3CM, INCLUSIVE
INSTALAÇÃO, FERRAGENS EM LATÃO CROMADO E ACESSÓRIOS</t>
  </si>
  <si>
    <t xml:space="preserve"> PORTA DE MADEIRA COMPLETA, DIMENSÃO (90X210)CM, TIPO DE
ABRIR, UMA (1) FOLHA, ACABAMENTO NATURAL PARA PINTURA/
VERNIZ, TIPO PRANCHETA/SARRAFEADA, INCLUSIVE MARCO,
ALIZAR E FERRAGENS, EXCLUSIVE PINTURA/VERNIZ</t>
  </si>
  <si>
    <t xml:space="preserve"> PORTA DE MADEIRA COMPLETA, DIMENSÃO (80X210)CM, TIPO DE
ABRIR, UMA (1) FOLHA, ACABAMENTO NATURAL PARA PINTURA/
VERNIZ, TIPO PRANCHETA/SARRAFEADA, INCLUSIVE MARCO,
ALIZAR E FERRAGENS, EXCLUSIVE PINTURA/VERNIZ</t>
  </si>
  <si>
    <t>VIDRO TEMPERADO TRANSPARENTE INCOLOR, ESP. 10MM,
INCLUSIVE FIXAÇÃO E VEDAÇÃO COM GUARNIÇÃO/GAXETA DE
BORRACHA NEOPRENE, FORNECIMENTO E INSTALAÇÃO,
EXCLUSIVE CAIXILHO/PERFIL</t>
  </si>
  <si>
    <t xml:space="preserve"> JANELA EM ALUMÍNIO MÁXIM-AR COM ALTURA DE 80CM, LINHA 25/
SUPREMA, ACABAMENTO ANODIZADO NATURAL, INCLUSIVE
PERFIS, VIDRO LISO 4MM E INSTALAÇÃO, EXCLUSIVE FERRAGENS
PARA MÓDULO DE JANELA DE ALUMÍNIO MÁXIM-AR</t>
  </si>
  <si>
    <t xml:space="preserve"> LIXAMENTO MANUAL EM PAREDE PARA REMOÇÃO DE TINTA </t>
  </si>
  <si>
    <t xml:space="preserve"> RUFO E CONTRARRUFO EM CHAPA GALVANIZADA, ESP. 0,5MM (
GSG-26), COM DESENVOLVIMENTO DE 20CM, INCLUSIVE
IÇAMENTO MANUAL VERTICAL</t>
  </si>
  <si>
    <t xml:space="preserve"> COBERTURA EM TELHA CERÂMICA, TIPO PLAN, INCLUSIVE
FIXAÇÃO, EXCLUSIVE ENGRADAMENTO E MANTA ISOLANTE/
TÉRMICA</t>
  </si>
  <si>
    <t xml:space="preserve"> ENGRADAMENTO PARA TELHAS CERÂMICA OU CONCRETO EM
MADEIRA PARAJU</t>
  </si>
  <si>
    <t xml:space="preserve"> PINTURA IMPERMEABILIZANTE COM ARGAMASSA POLIMÉRICA </t>
  </si>
  <si>
    <t>REVESTIMENTO COM IMPERMEABILIZANTE EM DUAS (2)
CAMADAS SOBREPOSTAS DE ARGAMASSA, TRAÇO 1:3 (CIMENTO
E AREIA) COM ADITIVO IMPERMEABILIZANTE, ESP. 20MM,
INCLUSIVE PINTURA COM DUAS (2) DEMÃOS COM EMULSÃO
ASFÁLTICA</t>
  </si>
  <si>
    <t xml:space="preserve"> CARGA MANUAL DE MATERIAL DE QUALQUER NATUREZA SOBRE
CAMINHÃO, EXCLUSIVE TRANSPORTE</t>
  </si>
  <si>
    <t>TRANSPORTE DE MATERIAL DE QUALQUER NATUREZA COM
CARRINHO DE MÃO, COM DISTÂNCIAS MAIORES QUE 50M E
MENORES OU IGUAIS A 100M, INCLUSIVE CARGA/DESGARGA</t>
  </si>
  <si>
    <t>LIMPEZA FINAL DE OBRA</t>
  </si>
  <si>
    <t>5.1</t>
  </si>
  <si>
    <t>ED-50266</t>
  </si>
  <si>
    <t xml:space="preserve"> LIMPEZA FINAL PARA ENTREGA DA OBRA </t>
  </si>
  <si>
    <t>COMPOSIÇÃO DO BDI</t>
  </si>
  <si>
    <t>Parâmetros para cálculo do BDI</t>
  </si>
  <si>
    <t>Itens Admissíveis</t>
  </si>
  <si>
    <t>Intervalos admissíveis sem justificativa</t>
  </si>
  <si>
    <t>Índices adotados</t>
  </si>
  <si>
    <t>Administração Central (AC)</t>
  </si>
  <si>
    <t xml:space="preserve">De </t>
  </si>
  <si>
    <t>até</t>
  </si>
  <si>
    <t>Seguro e Garantia (S+G)</t>
  </si>
  <si>
    <t>Risco (R)</t>
  </si>
  <si>
    <t>Despesas financeiras (DF)</t>
  </si>
  <si>
    <t>Lucro (L)</t>
  </si>
  <si>
    <t>Tributos (T)</t>
  </si>
  <si>
    <t>*INSS desoneração (E)</t>
  </si>
  <si>
    <t>ou</t>
  </si>
  <si>
    <t>INSS desoneração (E)</t>
  </si>
  <si>
    <t>Controle</t>
  </si>
  <si>
    <t>BDI CALCULADO ----&gt;</t>
  </si>
  <si>
    <t>BDI = (1+AC+S+R+G)*(1+DF)*(1+L)/(1-(T+E))</t>
  </si>
  <si>
    <t xml:space="preserve">Deneb Oliveira Bejar </t>
  </si>
  <si>
    <t>CREA: 89.511/D</t>
  </si>
  <si>
    <t>CRONOGRAMA FISICO - FINANCEIRO</t>
  </si>
  <si>
    <t>ITEM</t>
  </si>
  <si>
    <t>FÍSICO/ FINANCEIRO</t>
  </si>
  <si>
    <t>TOTAL  ETAPAS</t>
  </si>
  <si>
    <t>MÊS01</t>
  </si>
  <si>
    <t>MÊS02</t>
  </si>
  <si>
    <t>MÊS03</t>
  </si>
  <si>
    <t>MÊS04</t>
  </si>
  <si>
    <t>MÊS05</t>
  </si>
  <si>
    <t>MÊS06</t>
  </si>
  <si>
    <t>MÊS07</t>
  </si>
  <si>
    <t>MÊS08</t>
  </si>
  <si>
    <t>Físico %</t>
  </si>
  <si>
    <t>Financeiro</t>
  </si>
  <si>
    <t>TOTAL</t>
  </si>
  <si>
    <t>MÊS09</t>
  </si>
  <si>
    <t>MÊS10</t>
  </si>
  <si>
    <t>MÊS11</t>
  </si>
  <si>
    <t>MÊS12</t>
  </si>
  <si>
    <t>PREFEITURA MUNICIPAL DE QUELUZITO</t>
  </si>
  <si>
    <t>COMPOSIÇÃO UNITÁRIA DE CUSTOS</t>
  </si>
  <si>
    <t>CPU 01</t>
  </si>
  <si>
    <t>CÓDIGO</t>
  </si>
  <si>
    <t>UNIDADE</t>
  </si>
  <si>
    <t>QUANTIDADE</t>
  </si>
  <si>
    <t>CUSTO UNIT</t>
  </si>
  <si>
    <t xml:space="preserve">CUSTO TOTAL </t>
  </si>
  <si>
    <t>ED-21776</t>
  </si>
  <si>
    <t>ENCARREGADO GERAL DE OBRAS COM ENCARGOS COMPLEMENTARES</t>
  </si>
  <si>
    <t>CO-27348</t>
  </si>
  <si>
    <t>ENGENHEIRO/ARQUITETO, NÍVEL JÚNIOR, INCLUSIVE ENCARGOS COMPLEMENTARES</t>
  </si>
  <si>
    <t>H/MÊS</t>
  </si>
  <si>
    <t>COTAÇÃO</t>
  </si>
  <si>
    <t>ED-50363</t>
  </si>
  <si>
    <t>AJUDANTE DE BOMBEIRO/ENCANADOR COM ENCARGOS COMPLEMENTARES</t>
  </si>
  <si>
    <t>H</t>
  </si>
  <si>
    <t>ED-50374</t>
  </si>
  <si>
    <t>BOMBEIRO/ENCANADOR COM ENCARGOS COMPLEMENTARES</t>
  </si>
  <si>
    <t>SERVENTE COM ENCARGOS
COMPLEMENTARES</t>
  </si>
  <si>
    <t>CPU-01</t>
  </si>
  <si>
    <t>CPU-02</t>
  </si>
  <si>
    <t>PORTA DE MADEIRA COMPLETA, DIMENSÃO (60X210)CM, TIPO DE
ABRIR, UMA (1) FOLHA, COM REVESTIMENTO EM LAMINADO
MELAMÍNICO NAS DUAS (2) FACES, INCLUSIVE MARCO,
DOBRADIÇAS, FECHADURA E ALIZAR
un 1.111,17</t>
  </si>
  <si>
    <t xml:space="preserve">ED-49607 </t>
  </si>
  <si>
    <t>UNID</t>
  </si>
  <si>
    <t xml:space="preserve"> PORTA DE MADEIRA COMPLETA, DIMENSÃO (120X210)CM, TIPO DE ABRIR, DUAS (2) FOLHA, COM REVESTIMENTO EM LAMINADO MELAMÍNICO NAS DUAS (2) FACES, INCLUSIVE MARCO, DOBRADIÇAS, FECHADURA E ALIZAR</t>
  </si>
  <si>
    <t>CPU-03</t>
  </si>
  <si>
    <t>Mediana</t>
  </si>
  <si>
    <t xml:space="preserve">DEMOLIÇÃO MECANIZADA  DE PISO,
INCLUSIVE AFASTAMENTO E EMPILHAMENTO, EXCLUSIVE
TRANSPORTE E RETIRADA DO MATERIAL DEMOLIDO </t>
  </si>
  <si>
    <t>CPU-04</t>
  </si>
  <si>
    <t xml:space="preserve">DEMOLIÇÃO MECANIZADA  DE PISO, INCLUSIVE AFASTAMENTO E EMPILHAMENTO, EXCLUSIVE TRANSPORTE E RETIRADA DO MATERIAL DEMOLIDO </t>
  </si>
  <si>
    <t>PEDREIRO COM ENCARGOS
COMPLEMENTARES</t>
  </si>
  <si>
    <t>ED50381</t>
  </si>
  <si>
    <t>ED50367</t>
  </si>
  <si>
    <t>TOTAL/M²</t>
  </si>
  <si>
    <t>TOTAL / UNID</t>
  </si>
  <si>
    <t>TOTAL / MÊS</t>
  </si>
  <si>
    <t>PONTEIRO PARA ROMPEDOR
(COMPRIMENTO*: 400MM| DIÂMETRO DA SEÇÃO: 18MM| PESO*: 0,6KG)*VALORES
REFERENCIAIS APROXIMADOS</t>
  </si>
  <si>
    <t>MARTELO ROMPEDOR ( PESO: 5,9-12KG|FAIXA DE POTÊNCIA: 1500-1700W| ALIMENTAÇÃO: ELETRICIDADE|REFERÊNCIA
: E9675 OU EQUIVALENTE| OPERADOR: NÃO INCLUSO)</t>
  </si>
  <si>
    <t>CPU-05</t>
  </si>
  <si>
    <t xml:space="preserve">POSTE RETANGULAR EM AÇO C/ 1 X LED INTEGRADO 50W/6000LM/BIVOLT/IP66/3MTS - FORNECIMENTO E INSTALAÇÃO  </t>
  </si>
  <si>
    <t xml:space="preserve">COTAÇÃO </t>
  </si>
  <si>
    <t>POSTE RETANGULAR EM AÇO C/ 1 X LED INTEGRADO 50W/6000LM/BIVOLT/IP66/3MTS</t>
  </si>
  <si>
    <t xml:space="preserve">ED-50362 </t>
  </si>
  <si>
    <t>ED-50373</t>
  </si>
  <si>
    <t xml:space="preserve">AJUDANTE DE ELETRICISTA COM ENCARGOS COMPLEMENTARES </t>
  </si>
  <si>
    <t xml:space="preserve"> ELETRICISTA COM ENCARGOS COMPLEMENTARES</t>
  </si>
  <si>
    <t>TOTAL/UNID.</t>
  </si>
  <si>
    <t>CPU-06</t>
  </si>
  <si>
    <t xml:space="preserve">ED-50983 </t>
  </si>
  <si>
    <t>PORTÃO DE GRADE, EXCLUSIVE CADEADO E PINTURA (PORTÃO DE VEÍCULO)</t>
  </si>
  <si>
    <t>PORTÃO DE GRADE, EXCLUSIVE CADEADO E PINTURA (PORTÃO DE PEDESTRE)</t>
  </si>
  <si>
    <t>GRADE FRONTAL (FORNECIMENTO E INSTALAÇÃO)</t>
  </si>
  <si>
    <t>GRADE FRONTAL - FORNECIMENTO E INSTALAÇÃO</t>
  </si>
  <si>
    <t>ASSENTAMENTO DE GRADIL
E PORTÃO, EXCLUSIVE
FORNECIMENTO</t>
  </si>
  <si>
    <t>TOTAL/M2</t>
  </si>
  <si>
    <t>Quantidades de armadura, por diâmetro</t>
  </si>
  <si>
    <t>Quantidades da obra</t>
  </si>
  <si>
    <t xml:space="preserve"> </t>
  </si>
  <si>
    <t>Tipo de aço</t>
  </si>
  <si>
    <t>Referência</t>
  </si>
  <si>
    <t>Comprimento (m)</t>
  </si>
  <si>
    <t>Peso (kg)</t>
  </si>
  <si>
    <t>Elemento</t>
  </si>
  <si>
    <t>Fôrmas</t>
  </si>
  <si>
    <t>Volume</t>
  </si>
  <si>
    <t>Barras</t>
  </si>
  <si>
    <t>Sapatas isoladas</t>
  </si>
  <si>
    <t>CA-50</t>
  </si>
  <si>
    <t>Ø6.3</t>
  </si>
  <si>
    <t>187.74</t>
  </si>
  <si>
    <t>(m²)</t>
  </si>
  <si>
    <t>(m³)</t>
  </si>
  <si>
    <t>(kg)</t>
  </si>
  <si>
    <t>Ø10</t>
  </si>
  <si>
    <t>1235.26</t>
  </si>
  <si>
    <t>102.25</t>
  </si>
  <si>
    <t>Ø12.5</t>
  </si>
  <si>
    <t>153.60</t>
  </si>
  <si>
    <t>Total</t>
  </si>
  <si>
    <t>-</t>
  </si>
  <si>
    <t>Ø16</t>
  </si>
  <si>
    <t>21.28</t>
  </si>
  <si>
    <t>Total + 10%</t>
  </si>
  <si>
    <t>PISO</t>
  </si>
  <si>
    <t>Superfície</t>
  </si>
  <si>
    <t>Vigas</t>
  </si>
  <si>
    <t>268.65</t>
  </si>
  <si>
    <t>66.11</t>
  </si>
  <si>
    <t>Vigas de concreto</t>
  </si>
  <si>
    <t>CA-60</t>
  </si>
  <si>
    <t>Ø5</t>
  </si>
  <si>
    <t>1793.92</t>
  </si>
  <si>
    <t>7.61</t>
  </si>
  <si>
    <t>0.520</t>
  </si>
  <si>
    <t>31.61</t>
  </si>
  <si>
    <t>Índices (por m²)</t>
  </si>
  <si>
    <t>0.416</t>
  </si>
  <si>
    <t>35.55</t>
  </si>
  <si>
    <t>1578.01</t>
  </si>
  <si>
    <t>Superfície total: 70.22 m²</t>
  </si>
  <si>
    <t>226.45</t>
  </si>
  <si>
    <t>25.48</t>
  </si>
  <si>
    <t>Pilares em concreto</t>
  </si>
  <si>
    <t>269.87</t>
  </si>
  <si>
    <t>Ø8</t>
  </si>
  <si>
    <t>5.32</t>
  </si>
  <si>
    <t>Lajes de vigotas</t>
  </si>
  <si>
    <t>820.61</t>
  </si>
  <si>
    <t>Lajes maciças</t>
  </si>
  <si>
    <t>70.70</t>
  </si>
  <si>
    <t>223.64</t>
  </si>
  <si>
    <t>67.20</t>
  </si>
  <si>
    <t>164.39</t>
  </si>
  <si>
    <t>0.130</t>
  </si>
  <si>
    <t>7.96</t>
  </si>
  <si>
    <t>Superfície total: 542.54 m²</t>
  </si>
  <si>
    <t>L 283 10x30 6mm</t>
  </si>
  <si>
    <t>PLATIBANDA 01</t>
  </si>
  <si>
    <t>1300.76</t>
  </si>
  <si>
    <t>240.00</t>
  </si>
  <si>
    <t>52.00</t>
  </si>
  <si>
    <t>1891.74</t>
  </si>
  <si>
    <t>237.45</t>
  </si>
  <si>
    <t>Superfície total: 12,34 m²</t>
  </si>
  <si>
    <t>166.10</t>
  </si>
  <si>
    <t>1154.67</t>
  </si>
  <si>
    <t>PLATIBANDA 02</t>
  </si>
  <si>
    <t>414.80</t>
  </si>
  <si>
    <t>643.93</t>
  </si>
  <si>
    <t>1406.06</t>
  </si>
  <si>
    <t>146.74</t>
  </si>
  <si>
    <t>10.06</t>
  </si>
  <si>
    <t>66.60</t>
  </si>
  <si>
    <t>0.300</t>
  </si>
  <si>
    <t>29.95</t>
  </si>
  <si>
    <t>Superfície total: 10.95 m²</t>
  </si>
  <si>
    <t>Total obra</t>
  </si>
  <si>
    <t>Ø25</t>
  </si>
  <si>
    <t>0.166</t>
  </si>
  <si>
    <t>Superfície total: 614.58 m²</t>
  </si>
  <si>
    <t>2016.32</t>
  </si>
  <si>
    <t>1225.85</t>
  </si>
  <si>
    <t>137.30</t>
  </si>
  <si>
    <t>UBS</t>
  </si>
  <si>
    <t>DENTISTA</t>
  </si>
  <si>
    <t>COBERTURA DE POLICARBONATO ALVEOLAR TRANSPARENTE, INCL. ESTRUTRUTURA - FORNECIMENTO E INSTALACAO</t>
  </si>
  <si>
    <t>8.90.01</t>
  </si>
  <si>
    <t>SUDECAP</t>
  </si>
  <si>
    <t>MOBILIZAÇÃO E DESMOBILIZAÇÃO DE OBRA EM CENTRO URBANO OU REGIÃO LIMÍTROFE COM VALOR ENTRE 1.000.000,01 E 3.000.000,00</t>
  </si>
  <si>
    <t>ÁGUA FRIA</t>
  </si>
  <si>
    <t>ESGOTO</t>
  </si>
  <si>
    <t>CAIXA SIFONADA EM PVC COM GRELHA QUADRADA150 X 150 X 50
MM</t>
  </si>
  <si>
    <t>ED-50019</t>
  </si>
  <si>
    <t xml:space="preserve"> FORNECIMENTO E ASSENTAMENTO DE TUBO PVC RÍGIDO
SOLDÁVEL, ÁGUA FRIA, DN 25 MM (3/4"), INCLUSIVE CONEXÕES</t>
  </si>
  <si>
    <t xml:space="preserve">ED-50210 </t>
  </si>
  <si>
    <t>ED-50000</t>
  </si>
  <si>
    <t>ED-49989</t>
  </si>
  <si>
    <t>CAIXA D'AGUA POLIETILENO - 1.000 LITROS (FORNECIMENTO E INSTALAÇÃO)</t>
  </si>
  <si>
    <t xml:space="preserve">ED-50021 </t>
  </si>
  <si>
    <t>ED-50023</t>
  </si>
  <si>
    <t>ED-49976</t>
  </si>
  <si>
    <t xml:space="preserve">ED-49972 </t>
  </si>
  <si>
    <t>ED-49966</t>
  </si>
  <si>
    <t>ED-9133</t>
  </si>
  <si>
    <t xml:space="preserve"> FORNECIMENTO E ASSENTAMENTO DE TUBO PVC RÍGIDO
SOLDÁVEL, ÁGUA FRIA, DN 25 MM (3/4") , INCLUSIVE CONEXÕES</t>
  </si>
  <si>
    <t>FORNECIMENTO E ASSENTAMENTO DE TUBO PVC RÍGIDO
SOLDÁVEL, ÁGUA FRIA, DN 40 MM (1.1/4"), INCLUSIVE CONEXÕES</t>
  </si>
  <si>
    <t xml:space="preserve"> FORNECIMENTO E ASSENTAMENTO DE TUBO PVC RÍGIDO
SOLDÁVEL, ÁGUA FRIA, DN 60 MM (2"), INCLUSIVE CONEXÕES</t>
  </si>
  <si>
    <t xml:space="preserve"> REGISTRO DE GAVETA, TIPO BRUTO, ROSCÁVEL 1.1/4" (PARA
TUBO SOLDÁVEL OU PPR DN 40MM/CPVC DN 35MM), INCLUSIVE
VOLANTE PARA ACIONAMENTO</t>
  </si>
  <si>
    <t>REGISTRO DE GAVETA, TIPO BRUTO, ROSCÁVEL 3/4" (PARA TUBO
SOLDÁVEL OU PPR DN 25MM/CPVC DN 22MM), INCLUSIVE
VOLANTE PARA ACIONAMENTO</t>
  </si>
  <si>
    <t>REGISTRO DE PRESSÃO, TIPO BASE, ROSCÁVEL 3/4" (PARA TUBO
SOLDÁVEL OU PPR DN 25MM/CPVC DN 22MM), INCLUSIVE
ACABAMENTO (PADRÃO POPULAR) E CANOPLA CROMADOS</t>
  </si>
  <si>
    <t xml:space="preserve"> VÁLVULA DE DESCARGA COM REGISTRO INTERNO,
ACIONAMENTO DUPLO, DN 1.1/2" (50MM), INCLUSIVE
ACABAMENTO DA VÁLVULA</t>
  </si>
  <si>
    <t>ED-50009</t>
  </si>
  <si>
    <t>ED-49940</t>
  </si>
  <si>
    <t>ED-50008</t>
  </si>
  <si>
    <t>ED-50014</t>
  </si>
  <si>
    <t xml:space="preserve">ED-50007 </t>
  </si>
  <si>
    <t xml:space="preserve"> CAIXA SIFONADA EM PVC COM GRELHA QUADRADA/REDONDA
150 X 185 X 75 MM</t>
  </si>
  <si>
    <t xml:space="preserve"> CAIXA DE GORDURA DUPLA (CGD), CIRCULAR, EM CONCRETO
PRÉ-MOLDADO, CAPACIDADE DE 120L, INCLUSIVE ESCAVAÇÃO,
REATERRO, TRANSPORTE E RETIRADA DO MATERIAL ESCAVADO
(EM CAÇAMBA)</t>
  </si>
  <si>
    <t xml:space="preserve"> CAIXA SIFONADA EM PVC COM GRELHA REDONDA 150 X 150 X 50
MM</t>
  </si>
  <si>
    <t xml:space="preserve"> CAIXA SIFONADA EM PVC COM TAMPA CEGA 150 X 150 X 50 MM </t>
  </si>
  <si>
    <t>Julho/2024</t>
  </si>
  <si>
    <t>2.2</t>
  </si>
  <si>
    <t>2.2.1</t>
  </si>
  <si>
    <t>2.2.2</t>
  </si>
  <si>
    <t>2.2.3</t>
  </si>
  <si>
    <t>2.2.4</t>
  </si>
  <si>
    <t>2.2.5</t>
  </si>
  <si>
    <t>2.2.6</t>
  </si>
  <si>
    <t>2.2.7</t>
  </si>
  <si>
    <t>2.2.8</t>
  </si>
  <si>
    <t>2.6.7</t>
  </si>
  <si>
    <t>2.6.8</t>
  </si>
  <si>
    <t>2.6.9</t>
  </si>
  <si>
    <t>2.8.8</t>
  </si>
  <si>
    <t>2.8.9</t>
  </si>
  <si>
    <t>2.8.10</t>
  </si>
  <si>
    <t>2.10.1.1</t>
  </si>
  <si>
    <t>2.10.1.2</t>
  </si>
  <si>
    <t>2.10.1.3</t>
  </si>
  <si>
    <t>2.10.1.4</t>
  </si>
  <si>
    <t>2.10.2.1</t>
  </si>
  <si>
    <t>REGISTRO TIPO GLOBO, DN 1" (25 MM), PN16, EM LATAO COM
VOLANTE, EXTREMIDADES ROSCADAS - FORNECIMENTO E
INSTALAÇÃO</t>
  </si>
  <si>
    <t xml:space="preserve"> REGISTRO DE ESFERA, TIPO PVC SOLDÁVEL DN 25MM (3/4"),
INCLUSIVE VOLANTE PARA ACIONAMENTO</t>
  </si>
  <si>
    <t xml:space="preserve"> REGISTRO DE GAVETA, TIPO BASE, ROSCÁVEL 3/4" (PARA TUBO
SOLDÁVEL OU PPR DN 25MM/CPVC DN 22MM), INCLUSIVE
ACABAMENTO (PADRÃO MÉDIO) E CANOPLA CROMADO</t>
  </si>
  <si>
    <t>2.10.2.2</t>
  </si>
  <si>
    <t>2.10.2.3</t>
  </si>
  <si>
    <t>2.10.2.4</t>
  </si>
  <si>
    <t>2.10.2.5</t>
  </si>
  <si>
    <t>2.10.2.6</t>
  </si>
  <si>
    <t>2.10.2.7</t>
  </si>
  <si>
    <t>2.10.2.8</t>
  </si>
  <si>
    <t>2.10.2.9</t>
  </si>
  <si>
    <t>2.10.2.10</t>
  </si>
  <si>
    <t>2.10.2.11</t>
  </si>
  <si>
    <t>2.10.3.1</t>
  </si>
  <si>
    <t>2.10.3.2</t>
  </si>
  <si>
    <t>2.10.3.3</t>
  </si>
  <si>
    <t>2.10.3.4</t>
  </si>
  <si>
    <t>2.10.3.5</t>
  </si>
  <si>
    <t>2.10.3.6</t>
  </si>
  <si>
    <t>2.10.3.7</t>
  </si>
  <si>
    <t>2.10.3.8</t>
  </si>
  <si>
    <t>2.10.3.9</t>
  </si>
  <si>
    <t>2.10.4.1</t>
  </si>
  <si>
    <t>2.10.4.2</t>
  </si>
  <si>
    <t>2.10.4.3</t>
  </si>
  <si>
    <t>2.10.4.4</t>
  </si>
  <si>
    <t>2.10.4.5</t>
  </si>
  <si>
    <t>2.10.4.6</t>
  </si>
  <si>
    <t>2.10.4.7</t>
  </si>
  <si>
    <t>2.10.4.8</t>
  </si>
  <si>
    <t>2.10.4.9</t>
  </si>
  <si>
    <t>2.10.5</t>
  </si>
  <si>
    <t>2.10.5.1</t>
  </si>
  <si>
    <t>2.10.5.2</t>
  </si>
  <si>
    <t>2.10.5.3</t>
  </si>
  <si>
    <t>2.10.5.4</t>
  </si>
  <si>
    <t>2.10.5.5</t>
  </si>
  <si>
    <t>2.10.5.6</t>
  </si>
  <si>
    <t>2.10.5.7</t>
  </si>
  <si>
    <t>2.10.5.8</t>
  </si>
  <si>
    <t>2.10.5.9</t>
  </si>
  <si>
    <t>2.10.5.10</t>
  </si>
  <si>
    <t>2.10.5.11</t>
  </si>
  <si>
    <t>2.10.5.12</t>
  </si>
  <si>
    <t>2.10.5.13</t>
  </si>
  <si>
    <t>2.12.2.1</t>
  </si>
  <si>
    <t>2.12.2.2</t>
  </si>
  <si>
    <t>2.12.2.3</t>
  </si>
  <si>
    <t>2.12.2.4</t>
  </si>
  <si>
    <t>2.12.2.5</t>
  </si>
  <si>
    <t>2.12.2.6</t>
  </si>
  <si>
    <t>2.12.3.1</t>
  </si>
  <si>
    <t>2.12.3.2</t>
  </si>
  <si>
    <t>2.12.3.3</t>
  </si>
  <si>
    <t>2.12.3.4</t>
  </si>
  <si>
    <t>2.12.3.5</t>
  </si>
  <si>
    <t>2.12.3.6</t>
  </si>
  <si>
    <t>2.12.3.7</t>
  </si>
  <si>
    <t>2.12.3.8</t>
  </si>
  <si>
    <t>2.12.3.9</t>
  </si>
  <si>
    <t>2.12.3.10</t>
  </si>
  <si>
    <t>2.12.3.11</t>
  </si>
  <si>
    <t>2.12.3.12</t>
  </si>
  <si>
    <t>2.12.3.13</t>
  </si>
  <si>
    <t>2.12.3.14</t>
  </si>
  <si>
    <t>2.12.3.15</t>
  </si>
  <si>
    <t>2.12.3.16</t>
  </si>
  <si>
    <t>2.12.3.17</t>
  </si>
  <si>
    <t>2.12.3.18</t>
  </si>
  <si>
    <t>2.13.4.1</t>
  </si>
  <si>
    <t>2.13.4.2</t>
  </si>
  <si>
    <t>2.13.4.3</t>
  </si>
  <si>
    <t>2.13.4.4</t>
  </si>
  <si>
    <t>2.12.4.1</t>
  </si>
  <si>
    <t>2.12.4.2</t>
  </si>
  <si>
    <t>2.12.4.3</t>
  </si>
  <si>
    <t>2.12.4.4</t>
  </si>
  <si>
    <t>2.12.4.5</t>
  </si>
  <si>
    <t>2.12.4.6</t>
  </si>
  <si>
    <t>2.12.4.7</t>
  </si>
  <si>
    <t>2.12.4.8</t>
  </si>
  <si>
    <t>2.12.5.1</t>
  </si>
  <si>
    <t>2.12.5.2</t>
  </si>
  <si>
    <t>2.12.5.3</t>
  </si>
  <si>
    <t>2.12.5.4</t>
  </si>
  <si>
    <t>2.12.5.5</t>
  </si>
  <si>
    <t>2.13.1.1</t>
  </si>
  <si>
    <t>2.13.1.2</t>
  </si>
  <si>
    <t>2.13.1.3</t>
  </si>
  <si>
    <t>2.13.1.4</t>
  </si>
  <si>
    <t>2.13.1.5</t>
  </si>
  <si>
    <t>2.13.1.6</t>
  </si>
  <si>
    <t>ED-8917</t>
  </si>
  <si>
    <t xml:space="preserve"> EXECUÇÃO DE PAVIMENTO COM PISO INTERTRAVADO, TIPO
RETANGULAR, ESP. 10CM, COM FCK DE 35MPA, INCLUSIVE
COLCHÃO DE AREIA, ESP. 6CM, PARA ASSENTAMENTO,
COMPACTAÇÃO MECANIZADA, CARGA E DESCARGA MECÂNICA
EM CAMINHÃO, EXCLUSIVE TRANSPORTE DE PISO
INTERTRAVADO</t>
  </si>
  <si>
    <t xml:space="preserve">ED-8917 </t>
  </si>
  <si>
    <t>EXECUÇÃO DE PAVIMENTO COM PISO INTERTRAVADO, TIPO
RETANGULAR, ESP. 10CM, COM FCK DE 35MPA, INCLUSIVE
COLCHÃO DE AREIA, ESP. 6CM, PARA ASSENTAMENTO,
COMPACTAÇÃO MECANIZADA, CARGA E DESCARGA MECÂNICA
EM CAMINHÃO, EXCLUSIVE TRANSPORTE DE PISO
INTERTRAVADO</t>
  </si>
  <si>
    <t>CAIXA D'AGUA POLIETILENO - 1.000 LITROS</t>
  </si>
  <si>
    <t>ED-50933</t>
  </si>
  <si>
    <t>MATED-12705</t>
  </si>
  <si>
    <t>GRADE FIXA</t>
  </si>
  <si>
    <t>MATED-11962</t>
  </si>
  <si>
    <t>EQED-23048</t>
  </si>
  <si>
    <t>ED-5444</t>
  </si>
  <si>
    <t xml:space="preserve">ED-5437 </t>
  </si>
  <si>
    <t>ED-34498</t>
  </si>
  <si>
    <t xml:space="preserve"> DISJUNTOR TRIPOLAR TIPO DIN, CORRENTE NOMINAL DE 20A,
FORNECIMENTO E INSTALAÇÃO, INCLUSIVE TERMINAL ILHÓS
un 67,00</t>
  </si>
  <si>
    <t>ED-34488</t>
  </si>
  <si>
    <t xml:space="preserve">ED-34460 </t>
  </si>
  <si>
    <t>ED-34461</t>
  </si>
  <si>
    <t>ED-34462</t>
  </si>
  <si>
    <t xml:space="preserve">ED-34463 </t>
  </si>
  <si>
    <t xml:space="preserve">ED-34464 </t>
  </si>
  <si>
    <t>ED-34474</t>
  </si>
  <si>
    <t xml:space="preserve">ED-34476 </t>
  </si>
  <si>
    <t xml:space="preserve">ED-34480 </t>
  </si>
  <si>
    <t>DISJUNTOR DE PROTEÇÃO DIFERENCIAL RESIDUAL (DR),
TETRAPOLAR TIPO DIN, CORRENTE NOMINAL DE 25A,
SENSIBILIDADE DE 30MA, FORNECIMENTO E INSTALAÇÃO,
INCLUSIVE TERMINAL ILHÓS</t>
  </si>
  <si>
    <t xml:space="preserve"> DISJUNTOR DE PROTEÇÃO DIFERENCIAL RESIDUAL (DR),
TETRAPOLAR TIPO DIN, CORRENTE NOMINAL DE 125A,
SENSIBILIDADE DE 30MA, FORNECIMENTO E INSTALAÇÃO,
INCLUSIVE TERMINAL DE COMPRESSÃO</t>
  </si>
  <si>
    <t xml:space="preserve"> DISJUNTOR TRIPOLAR TIPO DIN, CORRENTE NOMINAL DE 125A,
FORNECIMENTO E INSTALAÇÃO, INCLUSIVE TERMINAL DE
COMPRESSÃO</t>
  </si>
  <si>
    <t>DISJUNTOR MONOPOLAR TIPO DIN, CORRENTE NOMINAL DE 10A,
FORNECIMENTO E INSTALAÇÃO, INCLUSIVE TERMINAL ILHÓS</t>
  </si>
  <si>
    <t xml:space="preserve"> DISJUNTOR MONOPOLAR TIPO DIN, CORRENTE NOMINAL DE 16A,
FORNECIMENTO E INSTALAÇÃO, INCLUSIVE TERMINAL ILHÓS</t>
  </si>
  <si>
    <t xml:space="preserve"> DISJUNTOR MONOPOLAR TIPO DIN, CORRENTE NOMINAL DE 20A,
FORNECIMENTO E INSTALAÇÃO, INCLUSIVE TERMINAL ILHÓS</t>
  </si>
  <si>
    <t>DISJUNTOR MONOPOLAR TIPO DIN, CORRENTE NOMINAL DE 25A,
FORNECIMENTO E INSTALAÇÃO, INCLUSIVE TERMINAL ILHÓS</t>
  </si>
  <si>
    <t>DISJUNTOR MONOPOLAR TIPO DIN, CORRENTE NOMINAL DE 32A,
FORNECIMENTO E INSTALAÇÃO, INCLUSIVE TERMINAL ILHÓS</t>
  </si>
  <si>
    <t xml:space="preserve"> DISJUNTOR BIPOLAR TIPO DIN, CORRENTE NOMINAL DE 16A,
FORNECIMENTO E INSTALAÇÃO, INCLUSIVE TERMINAL ILHÓS</t>
  </si>
  <si>
    <t>DISJUNTOR BIPOLAR TIPO DIN, CORRENTE NOMINAL DE 25A,
FORNECIMENTO E INSTALAÇÃO, INCLUSIVE TERMINAL ILHÓS</t>
  </si>
  <si>
    <t>DISJUNTOR BIPOLAR TIPO DIN, CORRENTE NOMINAL DE 63A,
FORNECIMENTO E INSTALAÇÃO, INCLUSIVE TERMINAL ILHÓS</t>
  </si>
  <si>
    <t xml:space="preserve">ED-48986 </t>
  </si>
  <si>
    <t>CABO DE COBRE FLEXÍVEL, CLASSE 5, ISOLAMENTO TIPO EPR/
HEPR, NÃO HALOGENADO, ANTICHAMA, TERMOFIXO, UNIPOLAR,
SEÇÃO 1,5 MM2, 90°C, 0,6/1KV</t>
  </si>
  <si>
    <t>2.12.3.19</t>
  </si>
  <si>
    <t>2.12.3.20</t>
  </si>
  <si>
    <t>2.12.3.21</t>
  </si>
  <si>
    <t>2.12.3.22</t>
  </si>
  <si>
    <t>2.12.3.23</t>
  </si>
  <si>
    <t>2.12.3.24</t>
  </si>
  <si>
    <t>2.12.3.25</t>
  </si>
  <si>
    <t>2.12.3.26</t>
  </si>
  <si>
    <t>2.12.3.27</t>
  </si>
  <si>
    <t>2.12.3.28</t>
  </si>
  <si>
    <t>2.12.3.29</t>
  </si>
  <si>
    <t>2.12.3.30</t>
  </si>
  <si>
    <t>2.12.3.31</t>
  </si>
  <si>
    <t>ED-48971</t>
  </si>
  <si>
    <t xml:space="preserve">ED-49013 </t>
  </si>
  <si>
    <t xml:space="preserve"> CABO DE COBRE FLEXÍVEL, CLASSE 5, ISOLAMENTO TIPO LSHF/
ATOX, NÃO HALOGENADO, ANTICHAMA, TERMOPLÁSTICO,
UNIPOLAR, SEÇÃO 16 MM2, 70°C, 450/750V</t>
  </si>
  <si>
    <t>CABO DE COBRE FLEXÍVEL, CLASSE 5, ISOLAMENTO TIPO EPR/
HEPR, NÃO HALOGENADO, ANTICHAMA, TERMOFIXO, UNIPOLAR,
SEÇÃO 70 MM2, 90°C, 0,6/1KV</t>
  </si>
  <si>
    <t>Deneb Oliveira Bejar</t>
  </si>
  <si>
    <t>CREA 89511/D</t>
  </si>
  <si>
    <t>3.12.20</t>
  </si>
  <si>
    <t>3.12.21</t>
  </si>
  <si>
    <t>3.12.22</t>
  </si>
  <si>
    <t>ED-9194</t>
  </si>
  <si>
    <t xml:space="preserve"> CABO UTP COM QUATRO (4) PARES, CATEGORIA 6,
CLASSIFICAÇÃO LSZH, COM ISOLAMENTO NÃO HALOGENADO E
ANTICHAMA, EXCLUSIVE CONECTOR/PLUG MACHO RJ45 E
CRIMPAGEM</t>
  </si>
  <si>
    <t xml:space="preserve"> CABO UTP COM QUATRO (4) PARES, CATEGORIA 5e</t>
  </si>
  <si>
    <t>CPU-07</t>
  </si>
  <si>
    <t xml:space="preserve"> CABO UTP COM QUATRO (4) PARES, CATEGORIA 5e,  COM ISOLAMENTO NÃO HALOGENADO E ANTICHAMA, EXCLUSIVE CONECTOR/PLUG MACHO RJ45 E CRIMPAGEM</t>
  </si>
  <si>
    <t>CPU -07</t>
  </si>
  <si>
    <t xml:space="preserve"> AJUDANTE DE ELETRICISTA COM
ENCARGOS COMPLEMENTARES</t>
  </si>
  <si>
    <t>ED-50362</t>
  </si>
  <si>
    <t>ELETRICISTA COM ENCARGOS
COMPLEMENTARES</t>
  </si>
  <si>
    <t xml:space="preserve">ED-50373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</si>
</sst>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R$&quot;\ * #,##0.00_-;\-&quot;R$&quot;\ * #,##0.00_-;_-&quot;R$&quot;\ * &quot;-&quot;??_-;_-@_-"/>
    <numFmt numFmtId="43" formatCode="_-* #,##0.00_-;\-* #,##0.00_-;_-* &quot;-&quot;??_-;_-@_-"/>
    <numFmt numFmtId="164" formatCode="&quot;R$&quot;#,##0.00;[Red]\-&quot;R$&quot;#,##0.00"/>
    <numFmt numFmtId="165" formatCode="&quot;R$&quot;\ #,##0.00"/>
    <numFmt numFmtId="166" formatCode="#,##0.000"/>
  </numFmts>
  <fonts count="26" x14ac:knownFonts="1">
    <font>
      <sz val="11"/>
      <color theme="1"/>
      <name val="Calibri"/>
      <family val="2"/>
      <scheme val="minor"/>
    </font>
    <font>
      <sz val="11"/>
      <color theme="1"/>
      <name val="Calibri"/>
      <family val="2"/>
      <scheme val="minor"/>
    </font>
    <font>
      <sz val="11"/>
      <color theme="1"/>
      <name val="Aptos"/>
      <family val="2"/>
    </font>
    <font>
      <b/>
      <sz val="11"/>
      <color theme="1"/>
      <name val="Aptos"/>
      <family val="2"/>
    </font>
    <font>
      <sz val="8"/>
      <name val="Calibri"/>
      <family val="2"/>
      <scheme val="minor"/>
    </font>
    <font>
      <sz val="11"/>
      <name val="Aptos"/>
      <family val="2"/>
    </font>
    <font>
      <b/>
      <sz val="11"/>
      <color rgb="FFFF0000"/>
      <name val="Aptos"/>
      <family val="2"/>
    </font>
    <font>
      <b/>
      <sz val="11"/>
      <color theme="1"/>
      <name val="Calibri"/>
      <family val="2"/>
      <scheme val="minor"/>
    </font>
    <font>
      <b/>
      <sz val="10"/>
      <color theme="1"/>
      <name val="Arial"/>
      <family val="2"/>
    </font>
    <font>
      <sz val="10"/>
      <color theme="1"/>
      <name val="Arial"/>
      <family val="2"/>
    </font>
    <font>
      <sz val="10"/>
      <name val="Arial"/>
      <family val="2"/>
    </font>
    <font>
      <b/>
      <sz val="10"/>
      <name val="Arial"/>
      <family val="2"/>
    </font>
    <font>
      <sz val="11"/>
      <color theme="1"/>
      <name val="Arial"/>
      <family val="2"/>
    </font>
    <font>
      <b/>
      <sz val="11"/>
      <color theme="1"/>
      <name val="Arial"/>
      <family val="2"/>
    </font>
    <font>
      <b/>
      <sz val="10"/>
      <color theme="1"/>
      <name val="Aptos"/>
      <family val="2"/>
    </font>
    <font>
      <sz val="10"/>
      <color theme="1"/>
      <name val="Aptos"/>
      <family val="2"/>
    </font>
    <font>
      <b/>
      <sz val="16.5"/>
      <color theme="1"/>
      <name val="Arial Black"/>
      <family val="2"/>
    </font>
    <font>
      <b/>
      <sz val="14"/>
      <color theme="1"/>
      <name val="Arial Black"/>
      <family val="2"/>
    </font>
    <font>
      <sz val="11.5"/>
      <color theme="1"/>
      <name val="Arial Black"/>
      <family val="2"/>
    </font>
    <font>
      <sz val="11.5"/>
      <color rgb="FF000000"/>
      <name val="Arial Black"/>
      <family val="2"/>
    </font>
    <font>
      <sz val="12"/>
      <color rgb="FF000000"/>
      <name val="Arial Black"/>
      <family val="2"/>
    </font>
    <font>
      <sz val="12"/>
      <color theme="1"/>
      <name val="Arial Black"/>
      <family val="2"/>
    </font>
    <font>
      <b/>
      <sz val="12"/>
      <color theme="1"/>
      <name val="Arial Black"/>
      <family val="2"/>
    </font>
    <font>
      <b/>
      <sz val="11.5"/>
      <color theme="1"/>
      <name val="Arial Black"/>
      <family val="2"/>
    </font>
    <font>
      <b/>
      <sz val="11"/>
      <color rgb="FFFF0000"/>
      <name val="Calibri"/>
      <family val="2"/>
      <scheme val="minor"/>
    </font>
    <font>
      <sz val="12"/>
      <color rgb="FFED0000"/>
      <name val="Arial Black"/>
      <family val="2"/>
    </font>
  </fonts>
  <fills count="15">
    <fill>
      <patternFill patternType="none"/>
    </fill>
    <fill>
      <patternFill patternType="gray125"/>
    </fill>
    <fill>
      <patternFill patternType="solid">
        <fgColor theme="7" tint="0.79998168889431442"/>
        <bgColor indexed="64"/>
      </patternFill>
    </fill>
    <fill>
      <patternFill patternType="solid">
        <fgColor rgb="FFFFFF00"/>
        <bgColor indexed="64"/>
      </patternFill>
    </fill>
    <fill>
      <patternFill patternType="solid">
        <fgColor theme="2" tint="-0.249977111117893"/>
        <bgColor indexed="64"/>
      </patternFill>
    </fill>
    <fill>
      <patternFill patternType="solid">
        <fgColor theme="0" tint="-0.14999847407452621"/>
        <bgColor indexed="64"/>
      </patternFill>
    </fill>
    <fill>
      <patternFill patternType="solid">
        <fgColor rgb="FF7030A0"/>
        <bgColor indexed="64"/>
      </patternFill>
    </fill>
    <fill>
      <patternFill patternType="solid">
        <fgColor indexed="42"/>
        <bgColor indexed="64"/>
      </patternFill>
    </fill>
    <fill>
      <patternFill patternType="solid">
        <fgColor indexed="22"/>
        <bgColor indexed="64"/>
      </patternFill>
    </fill>
    <fill>
      <patternFill patternType="solid">
        <fgColor indexed="43"/>
        <bgColor indexed="64"/>
      </patternFill>
    </fill>
    <fill>
      <patternFill patternType="solid">
        <fgColor theme="0" tint="-4.9989318521683403E-2"/>
        <bgColor indexed="64"/>
      </patternFill>
    </fill>
    <fill>
      <patternFill patternType="solid">
        <fgColor theme="0"/>
        <bgColor indexed="64"/>
      </patternFill>
    </fill>
    <fill>
      <patternFill patternType="solid">
        <fgColor rgb="FFF2F1F0"/>
        <bgColor indexed="64"/>
      </patternFill>
    </fill>
    <fill>
      <patternFill patternType="solid">
        <fgColor theme="2" tint="-0.89999084444715716"/>
        <bgColor indexed="64"/>
      </patternFill>
    </fill>
    <fill>
      <patternFill patternType="solid">
        <fgColor theme="0" tint="-0.34998626667073579"/>
        <bgColor indexed="64"/>
      </patternFill>
    </fill>
  </fills>
  <borders count="5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8"/>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style="thin">
        <color indexed="64"/>
      </left>
      <right/>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bottom style="thin">
        <color indexed="64"/>
      </bottom>
      <diagonal/>
    </border>
    <border>
      <left/>
      <right style="medium">
        <color rgb="FF000000"/>
      </right>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medium">
        <color rgb="FF000000"/>
      </left>
      <right/>
      <top style="medium">
        <color rgb="FF000000"/>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rgb="FF000000"/>
      </left>
      <right style="medium">
        <color rgb="FF000000"/>
      </right>
      <top style="medium">
        <color rgb="FF000000"/>
      </top>
      <bottom style="medium">
        <color rgb="FF000000"/>
      </bottom>
      <diagonal/>
    </border>
    <border>
      <left/>
      <right/>
      <top/>
      <bottom style="medium">
        <color rgb="FF000000"/>
      </bottom>
      <diagonal/>
    </border>
    <border>
      <left/>
      <right style="medium">
        <color rgb="FF000000"/>
      </right>
      <top/>
      <bottom/>
      <diagonal/>
    </border>
    <border>
      <left/>
      <right/>
      <top style="medium">
        <color indexed="64"/>
      </top>
      <bottom style="medium">
        <color indexed="64"/>
      </bottom>
      <diagonal/>
    </border>
    <border>
      <left style="medium">
        <color indexed="64"/>
      </left>
      <right style="medium">
        <color rgb="FF000000"/>
      </right>
      <top style="medium">
        <color indexed="64"/>
      </top>
      <bottom/>
      <diagonal/>
    </border>
    <border>
      <left style="medium">
        <color rgb="FF000000"/>
      </left>
      <right style="medium">
        <color rgb="FF000000"/>
      </right>
      <top style="medium">
        <color indexed="64"/>
      </top>
      <bottom/>
      <diagonal/>
    </border>
    <border>
      <left/>
      <right style="medium">
        <color rgb="FF000000"/>
      </right>
      <top style="medium">
        <color indexed="64"/>
      </top>
      <bottom style="medium">
        <color rgb="FF000000"/>
      </bottom>
      <diagonal/>
    </border>
    <border>
      <left/>
      <right style="medium">
        <color indexed="64"/>
      </right>
      <top style="medium">
        <color indexed="64"/>
      </top>
      <bottom style="medium">
        <color rgb="FF000000"/>
      </bottom>
      <diagonal/>
    </border>
    <border>
      <left style="medium">
        <color indexed="64"/>
      </left>
      <right style="medium">
        <color rgb="FF000000"/>
      </right>
      <top/>
      <bottom/>
      <diagonal/>
    </border>
    <border>
      <left/>
      <right style="medium">
        <color indexed="64"/>
      </right>
      <top/>
      <bottom style="medium">
        <color rgb="FF000000"/>
      </bottom>
      <diagonal/>
    </border>
    <border>
      <left style="medium">
        <color indexed="64"/>
      </left>
      <right style="medium">
        <color rgb="FF000000"/>
      </right>
      <top/>
      <bottom style="medium">
        <color indexed="64"/>
      </bottom>
      <diagonal/>
    </border>
    <border>
      <left style="medium">
        <color rgb="FF000000"/>
      </left>
      <right style="medium">
        <color rgb="FF000000"/>
      </right>
      <top/>
      <bottom style="medium">
        <color indexed="64"/>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right style="medium">
        <color indexed="64"/>
      </right>
      <top/>
      <bottom style="medium">
        <color indexed="64"/>
      </bottom>
      <diagonal/>
    </border>
  </borders>
  <cellStyleXfs count="6">
    <xf numFmtId="0" fontId="0" fillId="0" borderId="0"/>
    <xf numFmtId="43"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0" fontId="10" fillId="0" borderId="0"/>
    <xf numFmtId="9" fontId="10" fillId="0" borderId="0" applyFill="0" applyBorder="0" applyAlignment="0" applyProtection="0"/>
  </cellStyleXfs>
  <cellXfs count="334">
    <xf numFmtId="0" fontId="0" fillId="0" borderId="0" xfId="0"/>
    <xf numFmtId="0" fontId="2" fillId="0" borderId="0" xfId="0" applyFont="1"/>
    <xf numFmtId="0" fontId="3" fillId="0" borderId="0" xfId="0" applyFont="1"/>
    <xf numFmtId="0" fontId="3" fillId="0" borderId="0" xfId="0" applyFont="1" applyAlignment="1">
      <alignment wrapText="1"/>
    </xf>
    <xf numFmtId="0" fontId="2" fillId="0" borderId="0" xfId="0" applyFont="1" applyAlignment="1">
      <alignment wrapText="1"/>
    </xf>
    <xf numFmtId="0" fontId="2" fillId="0" borderId="1" xfId="0" applyFont="1" applyBorder="1" applyAlignment="1">
      <alignment wrapText="1"/>
    </xf>
    <xf numFmtId="0" fontId="2" fillId="0" borderId="1" xfId="0" applyFont="1" applyBorder="1" applyAlignment="1">
      <alignment horizontal="center" wrapText="1"/>
    </xf>
    <xf numFmtId="0" fontId="2" fillId="0" borderId="0" xfId="0" applyFont="1" applyAlignment="1">
      <alignment horizontal="center" wrapText="1"/>
    </xf>
    <xf numFmtId="0" fontId="2" fillId="0" borderId="0" xfId="0" applyFont="1" applyAlignment="1">
      <alignment horizontal="center"/>
    </xf>
    <xf numFmtId="0" fontId="2" fillId="0" borderId="0" xfId="0" applyFont="1" applyAlignment="1">
      <alignment horizontal="left"/>
    </xf>
    <xf numFmtId="0" fontId="2" fillId="2" borderId="1" xfId="0" applyFont="1" applyFill="1" applyBorder="1" applyAlignment="1">
      <alignment wrapText="1"/>
    </xf>
    <xf numFmtId="0" fontId="2" fillId="2" borderId="0" xfId="0" applyFont="1" applyFill="1" applyAlignment="1">
      <alignment wrapText="1"/>
    </xf>
    <xf numFmtId="0" fontId="2" fillId="0" borderId="1" xfId="0" applyFont="1" applyBorder="1"/>
    <xf numFmtId="43" fontId="2" fillId="0" borderId="0" xfId="1" applyFont="1" applyBorder="1" applyAlignment="1">
      <alignment wrapText="1"/>
    </xf>
    <xf numFmtId="0" fontId="2" fillId="0" borderId="6" xfId="0" applyFont="1" applyBorder="1" applyAlignment="1">
      <alignment wrapText="1"/>
    </xf>
    <xf numFmtId="0" fontId="2" fillId="0" borderId="1" xfId="0" applyFont="1" applyBorder="1" applyAlignment="1">
      <alignment horizontal="left" wrapText="1"/>
    </xf>
    <xf numFmtId="0" fontId="5" fillId="0" borderId="0" xfId="0" applyFont="1"/>
    <xf numFmtId="0" fontId="3" fillId="0" borderId="1" xfId="0" applyFont="1" applyBorder="1"/>
    <xf numFmtId="0" fontId="2" fillId="0" borderId="5" xfId="0" applyFont="1" applyBorder="1" applyAlignment="1">
      <alignment wrapText="1"/>
    </xf>
    <xf numFmtId="0" fontId="3" fillId="3" borderId="0" xfId="0" applyFont="1" applyFill="1"/>
    <xf numFmtId="0" fontId="3" fillId="3" borderId="0" xfId="0" applyFont="1" applyFill="1" applyAlignment="1">
      <alignment horizontal="left"/>
    </xf>
    <xf numFmtId="0" fontId="3" fillId="4" borderId="0" xfId="0" applyFont="1" applyFill="1"/>
    <xf numFmtId="0" fontId="2" fillId="4" borderId="0" xfId="0" applyFont="1" applyFill="1" applyAlignment="1">
      <alignment wrapText="1"/>
    </xf>
    <xf numFmtId="0" fontId="2" fillId="4" borderId="0" xfId="0" applyFont="1" applyFill="1"/>
    <xf numFmtId="0" fontId="2" fillId="3" borderId="0" xfId="0" applyFont="1" applyFill="1"/>
    <xf numFmtId="0" fontId="6" fillId="0" borderId="0" xfId="0" applyFont="1" applyAlignment="1">
      <alignment wrapText="1"/>
    </xf>
    <xf numFmtId="43" fontId="2" fillId="0" borderId="1" xfId="1" applyFont="1" applyBorder="1"/>
    <xf numFmtId="0" fontId="3" fillId="6" borderId="0" xfId="0" applyFont="1" applyFill="1" applyAlignment="1">
      <alignment wrapText="1"/>
    </xf>
    <xf numFmtId="0" fontId="5" fillId="0" borderId="1" xfId="0" applyFont="1" applyBorder="1"/>
    <xf numFmtId="0" fontId="9" fillId="0" borderId="0" xfId="0" applyFont="1"/>
    <xf numFmtId="0" fontId="11" fillId="8" borderId="7" xfId="4" applyFont="1" applyFill="1" applyBorder="1" applyAlignment="1">
      <alignment vertical="center"/>
    </xf>
    <xf numFmtId="0" fontId="10" fillId="8" borderId="9" xfId="4" applyFill="1" applyBorder="1" applyAlignment="1">
      <alignment vertical="center"/>
    </xf>
    <xf numFmtId="0" fontId="10" fillId="7" borderId="12" xfId="4" applyFill="1" applyBorder="1" applyAlignment="1">
      <alignment horizontal="left" vertical="center"/>
    </xf>
    <xf numFmtId="10" fontId="10" fillId="7" borderId="12" xfId="4" applyNumberFormat="1" applyFill="1" applyBorder="1" applyAlignment="1">
      <alignment vertical="center"/>
    </xf>
    <xf numFmtId="0" fontId="10" fillId="7" borderId="13" xfId="4" applyFill="1" applyBorder="1" applyAlignment="1">
      <alignment horizontal="center" vertical="center"/>
    </xf>
    <xf numFmtId="10" fontId="10" fillId="9" borderId="15" xfId="5" applyNumberFormat="1" applyFill="1" applyBorder="1" applyAlignment="1" applyProtection="1">
      <alignment vertical="center"/>
      <protection locked="0"/>
    </xf>
    <xf numFmtId="0" fontId="10" fillId="7" borderId="16" xfId="4" applyFill="1" applyBorder="1" applyAlignment="1">
      <alignment horizontal="left" vertical="center"/>
    </xf>
    <xf numFmtId="10" fontId="10" fillId="7" borderId="16" xfId="4" applyNumberFormat="1" applyFill="1" applyBorder="1" applyAlignment="1">
      <alignment vertical="center"/>
    </xf>
    <xf numFmtId="0" fontId="10" fillId="7" borderId="17" xfId="4" applyFill="1" applyBorder="1" applyAlignment="1">
      <alignment horizontal="center" vertical="center"/>
    </xf>
    <xf numFmtId="0" fontId="10" fillId="7" borderId="19" xfId="4" applyFill="1" applyBorder="1" applyAlignment="1">
      <alignment horizontal="left" vertical="center"/>
    </xf>
    <xf numFmtId="0" fontId="10" fillId="7" borderId="20" xfId="4" applyFill="1" applyBorder="1"/>
    <xf numFmtId="10" fontId="10" fillId="7" borderId="2" xfId="4" applyNumberFormat="1" applyFill="1" applyBorder="1" applyAlignment="1">
      <alignment vertical="center"/>
    </xf>
    <xf numFmtId="10" fontId="10" fillId="7" borderId="4" xfId="4" applyNumberFormat="1" applyFill="1" applyBorder="1" applyAlignment="1">
      <alignment vertical="center"/>
    </xf>
    <xf numFmtId="0" fontId="10" fillId="7" borderId="1" xfId="4" applyFill="1" applyBorder="1" applyAlignment="1">
      <alignment horizontal="left" vertical="center"/>
    </xf>
    <xf numFmtId="10" fontId="11" fillId="7" borderId="1" xfId="5" applyNumberFormat="1" applyFont="1" applyFill="1" applyBorder="1"/>
    <xf numFmtId="0" fontId="10" fillId="0" borderId="0" xfId="4"/>
    <xf numFmtId="0" fontId="12" fillId="0" borderId="0" xfId="0" applyFont="1"/>
    <xf numFmtId="0" fontId="13" fillId="5" borderId="1" xfId="0" applyFont="1" applyFill="1" applyBorder="1" applyAlignment="1">
      <alignment horizontal="center" vertical="center"/>
    </xf>
    <xf numFmtId="0" fontId="13" fillId="0" borderId="0" xfId="0" applyFont="1"/>
    <xf numFmtId="0" fontId="13" fillId="5" borderId="1" xfId="0" applyFont="1" applyFill="1" applyBorder="1" applyAlignment="1">
      <alignment horizontal="center" wrapText="1"/>
    </xf>
    <xf numFmtId="0" fontId="13" fillId="5" borderId="1" xfId="0" applyFont="1" applyFill="1" applyBorder="1" applyAlignment="1">
      <alignment horizontal="center" vertical="center" wrapText="1"/>
    </xf>
    <xf numFmtId="0" fontId="12" fillId="10" borderId="1" xfId="0" applyFont="1" applyFill="1" applyBorder="1" applyAlignment="1">
      <alignment vertical="center"/>
    </xf>
    <xf numFmtId="10" fontId="12" fillId="10" borderId="1" xfId="0" applyNumberFormat="1" applyFont="1" applyFill="1" applyBorder="1" applyAlignment="1">
      <alignment horizontal="center" vertical="center"/>
    </xf>
    <xf numFmtId="44" fontId="12" fillId="10" borderId="1" xfId="0" applyNumberFormat="1" applyFont="1" applyFill="1" applyBorder="1" applyAlignment="1">
      <alignment horizontal="center" vertical="center"/>
    </xf>
    <xf numFmtId="164" fontId="12" fillId="10" borderId="1" xfId="0" applyNumberFormat="1" applyFont="1" applyFill="1" applyBorder="1" applyAlignment="1">
      <alignment vertical="center"/>
    </xf>
    <xf numFmtId="0" fontId="12" fillId="0" borderId="1" xfId="0" applyFont="1" applyBorder="1" applyAlignment="1">
      <alignment vertical="center"/>
    </xf>
    <xf numFmtId="10" fontId="12" fillId="0" borderId="1" xfId="0" applyNumberFormat="1" applyFont="1" applyBorder="1" applyAlignment="1">
      <alignment horizontal="center" vertical="center"/>
    </xf>
    <xf numFmtId="9" fontId="12" fillId="0" borderId="1" xfId="0" applyNumberFormat="1" applyFont="1" applyBorder="1" applyAlignment="1">
      <alignment vertical="center"/>
    </xf>
    <xf numFmtId="0" fontId="12" fillId="0" borderId="1" xfId="0" applyFont="1" applyBorder="1"/>
    <xf numFmtId="165" fontId="12" fillId="0" borderId="1" xfId="0" applyNumberFormat="1" applyFont="1" applyBorder="1" applyAlignment="1">
      <alignment horizontal="center" vertical="center"/>
    </xf>
    <xf numFmtId="164" fontId="12" fillId="0" borderId="1" xfId="0" applyNumberFormat="1" applyFont="1" applyBorder="1" applyAlignment="1">
      <alignment vertical="center"/>
    </xf>
    <xf numFmtId="10" fontId="12" fillId="10" borderId="1" xfId="0" applyNumberFormat="1" applyFont="1" applyFill="1" applyBorder="1"/>
    <xf numFmtId="165" fontId="12" fillId="10" borderId="1" xfId="0" applyNumberFormat="1" applyFont="1" applyFill="1" applyBorder="1" applyAlignment="1">
      <alignment horizontal="center" vertical="center"/>
    </xf>
    <xf numFmtId="10" fontId="12" fillId="0" borderId="1" xfId="0" applyNumberFormat="1" applyFont="1" applyBorder="1"/>
    <xf numFmtId="10" fontId="12" fillId="10" borderId="1" xfId="2" applyNumberFormat="1" applyFont="1" applyFill="1" applyBorder="1"/>
    <xf numFmtId="9" fontId="12" fillId="10" borderId="1" xfId="0" applyNumberFormat="1" applyFont="1" applyFill="1" applyBorder="1"/>
    <xf numFmtId="0" fontId="13" fillId="5" borderId="1" xfId="0" applyFont="1" applyFill="1" applyBorder="1" applyAlignment="1">
      <alignment vertical="center"/>
    </xf>
    <xf numFmtId="10" fontId="13" fillId="5" borderId="1" xfId="2" applyNumberFormat="1" applyFont="1" applyFill="1" applyBorder="1" applyAlignment="1">
      <alignment horizontal="center" vertical="center"/>
    </xf>
    <xf numFmtId="44" fontId="13" fillId="5" borderId="1" xfId="0" applyNumberFormat="1" applyFont="1" applyFill="1" applyBorder="1" applyAlignment="1">
      <alignment horizontal="center" vertical="center"/>
    </xf>
    <xf numFmtId="43" fontId="12" fillId="0" borderId="0" xfId="0" applyNumberFormat="1" applyFont="1"/>
    <xf numFmtId="44" fontId="12" fillId="0" borderId="0" xfId="0" applyNumberFormat="1" applyFont="1"/>
    <xf numFmtId="165" fontId="12" fillId="0" borderId="0" xfId="0" applyNumberFormat="1" applyFont="1"/>
    <xf numFmtId="164" fontId="12" fillId="0" borderId="0" xfId="0" applyNumberFormat="1" applyFont="1"/>
    <xf numFmtId="44" fontId="12" fillId="0" borderId="5" xfId="0" applyNumberFormat="1" applyFont="1" applyBorder="1"/>
    <xf numFmtId="0" fontId="7" fillId="0" borderId="0" xfId="0" applyFont="1"/>
    <xf numFmtId="0" fontId="14" fillId="0" borderId="0" xfId="0" applyFont="1" applyAlignment="1">
      <alignment horizontal="center" vertical="center"/>
    </xf>
    <xf numFmtId="0" fontId="14" fillId="0" borderId="0" xfId="0" applyFont="1" applyAlignment="1">
      <alignment vertical="center"/>
    </xf>
    <xf numFmtId="0" fontId="14" fillId="5" borderId="1" xfId="0" applyFont="1" applyFill="1" applyBorder="1"/>
    <xf numFmtId="0" fontId="15" fillId="0" borderId="0" xfId="0" applyFont="1"/>
    <xf numFmtId="43" fontId="14" fillId="5" borderId="1" xfId="1" applyFont="1" applyFill="1" applyBorder="1"/>
    <xf numFmtId="44" fontId="14" fillId="5" borderId="1" xfId="3" applyFont="1" applyFill="1" applyBorder="1"/>
    <xf numFmtId="0" fontId="15" fillId="0" borderId="1" xfId="0" applyFont="1" applyBorder="1"/>
    <xf numFmtId="0" fontId="15" fillId="0" borderId="1" xfId="0" applyFont="1" applyBorder="1" applyAlignment="1">
      <alignment horizontal="center" vertical="center"/>
    </xf>
    <xf numFmtId="0" fontId="15" fillId="0" borderId="1" xfId="0" applyFont="1" applyBorder="1" applyAlignment="1">
      <alignment wrapText="1"/>
    </xf>
    <xf numFmtId="4" fontId="15" fillId="0" borderId="1" xfId="0" applyNumberFormat="1" applyFont="1" applyBorder="1"/>
    <xf numFmtId="44" fontId="15" fillId="0" borderId="1" xfId="3" applyFont="1" applyBorder="1"/>
    <xf numFmtId="43" fontId="15" fillId="0" borderId="1" xfId="1" applyFont="1" applyBorder="1"/>
    <xf numFmtId="44" fontId="14" fillId="0" borderId="1" xfId="3" applyFont="1" applyBorder="1" applyAlignment="1">
      <alignment horizontal="center" vertical="center"/>
    </xf>
    <xf numFmtId="0" fontId="15" fillId="11" borderId="1" xfId="0" applyFont="1" applyFill="1" applyBorder="1" applyAlignment="1">
      <alignment horizontal="center" vertical="center"/>
    </xf>
    <xf numFmtId="43" fontId="15" fillId="0" borderId="1" xfId="1" applyFont="1" applyBorder="1" applyAlignment="1">
      <alignment horizontal="center" vertical="center"/>
    </xf>
    <xf numFmtId="44" fontId="15" fillId="0" borderId="1" xfId="3" applyFont="1" applyBorder="1" applyAlignment="1">
      <alignment horizontal="center" vertical="center"/>
    </xf>
    <xf numFmtId="44" fontId="14" fillId="0" borderId="0" xfId="3" applyFont="1" applyBorder="1" applyAlignment="1">
      <alignment horizontal="center" vertical="center"/>
    </xf>
    <xf numFmtId="43" fontId="15" fillId="0" borderId="0" xfId="1" applyFont="1"/>
    <xf numFmtId="44" fontId="15" fillId="0" borderId="0" xfId="3" applyFont="1"/>
    <xf numFmtId="0" fontId="15" fillId="11" borderId="1" xfId="0" applyFont="1" applyFill="1" applyBorder="1" applyAlignment="1">
      <alignment wrapText="1"/>
    </xf>
    <xf numFmtId="0" fontId="17" fillId="0" borderId="0" xfId="0" applyFont="1" applyAlignment="1">
      <alignment vertical="center"/>
    </xf>
    <xf numFmtId="0" fontId="18" fillId="0" borderId="27" xfId="0" applyFont="1" applyBorder="1" applyAlignment="1">
      <alignment vertical="center" wrapText="1"/>
    </xf>
    <xf numFmtId="0" fontId="19" fillId="12" borderId="28" xfId="0" applyFont="1" applyFill="1" applyBorder="1" applyAlignment="1">
      <alignment horizontal="center" vertical="center"/>
    </xf>
    <xf numFmtId="0" fontId="20" fillId="12" borderId="29" xfId="0" applyFont="1" applyFill="1" applyBorder="1" applyAlignment="1">
      <alignment horizontal="center" vertical="center"/>
    </xf>
    <xf numFmtId="0" fontId="21" fillId="12" borderId="30" xfId="0" applyFont="1" applyFill="1" applyBorder="1" applyAlignment="1">
      <alignment horizontal="center" vertical="center" wrapText="1"/>
    </xf>
    <xf numFmtId="0" fontId="18" fillId="0" borderId="29" xfId="0" applyFont="1" applyBorder="1" applyAlignment="1">
      <alignment vertical="center"/>
    </xf>
    <xf numFmtId="0" fontId="18" fillId="0" borderId="29" xfId="0" applyFont="1" applyBorder="1" applyAlignment="1">
      <alignment horizontal="center" vertical="center"/>
    </xf>
    <xf numFmtId="0" fontId="18" fillId="0" borderId="27" xfId="0" applyFont="1" applyBorder="1" applyAlignment="1">
      <alignment horizontal="center" vertical="center"/>
    </xf>
    <xf numFmtId="0" fontId="20" fillId="12" borderId="31" xfId="0" applyFont="1" applyFill="1" applyBorder="1" applyAlignment="1">
      <alignment horizontal="center" vertical="center"/>
    </xf>
    <xf numFmtId="0" fontId="21" fillId="12" borderId="27" xfId="0" applyFont="1" applyFill="1" applyBorder="1" applyAlignment="1">
      <alignment horizontal="center" vertical="center" wrapText="1"/>
    </xf>
    <xf numFmtId="0" fontId="18" fillId="0" borderId="32" xfId="0" applyFont="1" applyBorder="1" applyAlignment="1">
      <alignment vertical="center"/>
    </xf>
    <xf numFmtId="0" fontId="18" fillId="0" borderId="32" xfId="0" applyFont="1" applyBorder="1" applyAlignment="1">
      <alignment horizontal="center" vertical="center"/>
    </xf>
    <xf numFmtId="0" fontId="21" fillId="0" borderId="31" xfId="0" applyFont="1" applyBorder="1" applyAlignment="1">
      <alignment vertical="center"/>
    </xf>
    <xf numFmtId="0" fontId="21" fillId="0" borderId="27" xfId="0" applyFont="1" applyBorder="1" applyAlignment="1">
      <alignment horizontal="center" vertical="center"/>
    </xf>
    <xf numFmtId="3" fontId="21" fillId="0" borderId="27" xfId="0" applyNumberFormat="1" applyFont="1" applyBorder="1" applyAlignment="1">
      <alignment horizontal="center" vertical="center"/>
    </xf>
    <xf numFmtId="0" fontId="22" fillId="0" borderId="31" xfId="0" applyFont="1" applyBorder="1" applyAlignment="1">
      <alignment horizontal="right" vertical="center"/>
    </xf>
    <xf numFmtId="0" fontId="22" fillId="0" borderId="27" xfId="0" applyFont="1" applyBorder="1" applyAlignment="1">
      <alignment horizontal="center" vertical="center"/>
    </xf>
    <xf numFmtId="3" fontId="22" fillId="0" borderId="27" xfId="0" applyNumberFormat="1" applyFont="1" applyBorder="1" applyAlignment="1">
      <alignment horizontal="center" vertical="center"/>
    </xf>
    <xf numFmtId="0" fontId="0" fillId="0" borderId="0" xfId="0" applyAlignment="1">
      <alignment vertical="center"/>
    </xf>
    <xf numFmtId="0" fontId="18" fillId="0" borderId="31" xfId="0" applyFont="1" applyBorder="1" applyAlignment="1">
      <alignment vertical="center"/>
    </xf>
    <xf numFmtId="0" fontId="18" fillId="0" borderId="31" xfId="0" applyFont="1" applyBorder="1" applyAlignment="1">
      <alignment horizontal="center" vertical="center"/>
    </xf>
    <xf numFmtId="0" fontId="23" fillId="0" borderId="33" xfId="0" applyFont="1" applyBorder="1" applyAlignment="1">
      <alignment horizontal="right" vertical="center"/>
    </xf>
    <xf numFmtId="0" fontId="23" fillId="0" borderId="28" xfId="0" applyFont="1" applyBorder="1" applyAlignment="1">
      <alignment horizontal="right" vertical="center"/>
    </xf>
    <xf numFmtId="0" fontId="23" fillId="0" borderId="27" xfId="0" applyFont="1" applyBorder="1" applyAlignment="1">
      <alignment horizontal="center" vertical="center"/>
    </xf>
    <xf numFmtId="0" fontId="21" fillId="0" borderId="0" xfId="0" applyFont="1" applyAlignment="1">
      <alignment vertical="center"/>
    </xf>
    <xf numFmtId="0" fontId="22" fillId="0" borderId="33" xfId="0" applyFont="1" applyBorder="1" applyAlignment="1">
      <alignment vertical="center"/>
    </xf>
    <xf numFmtId="0" fontId="22" fillId="0" borderId="34" xfId="0" applyFont="1" applyBorder="1" applyAlignment="1">
      <alignment vertical="center"/>
    </xf>
    <xf numFmtId="0" fontId="22" fillId="0" borderId="28" xfId="0" applyFont="1" applyBorder="1" applyAlignment="1">
      <alignment vertical="center"/>
    </xf>
    <xf numFmtId="0" fontId="19" fillId="12" borderId="30" xfId="0" applyFont="1" applyFill="1" applyBorder="1" applyAlignment="1">
      <alignment horizontal="center" vertical="center"/>
    </xf>
    <xf numFmtId="0" fontId="18" fillId="0" borderId="35" xfId="0" applyFont="1" applyBorder="1" applyAlignment="1">
      <alignment vertical="center"/>
    </xf>
    <xf numFmtId="0" fontId="18" fillId="0" borderId="37" xfId="0" applyFont="1" applyBorder="1" applyAlignment="1">
      <alignment horizontal="center" vertical="center"/>
    </xf>
    <xf numFmtId="0" fontId="18" fillId="0" borderId="38" xfId="0" applyFont="1" applyBorder="1" applyAlignment="1">
      <alignment horizontal="center" vertical="center"/>
    </xf>
    <xf numFmtId="0" fontId="18" fillId="0" borderId="0" xfId="0" applyFont="1" applyAlignment="1">
      <alignment horizontal="center" vertical="center"/>
    </xf>
    <xf numFmtId="0" fontId="21" fillId="0" borderId="39" xfId="0" applyFont="1" applyBorder="1" applyAlignment="1">
      <alignment vertical="center"/>
    </xf>
    <xf numFmtId="0" fontId="21" fillId="0" borderId="28" xfId="0" applyFont="1" applyBorder="1" applyAlignment="1">
      <alignment horizontal="center" vertical="center"/>
    </xf>
    <xf numFmtId="0" fontId="21" fillId="0" borderId="30" xfId="0" applyFont="1" applyBorder="1" applyAlignment="1">
      <alignment horizontal="center" vertical="center"/>
    </xf>
    <xf numFmtId="3" fontId="21" fillId="0" borderId="28" xfId="0" applyNumberFormat="1" applyFont="1" applyBorder="1" applyAlignment="1">
      <alignment horizontal="center" vertical="center"/>
    </xf>
    <xf numFmtId="0" fontId="22" fillId="0" borderId="40" xfId="0" applyFont="1" applyBorder="1" applyAlignment="1">
      <alignment horizontal="center" vertical="center"/>
    </xf>
    <xf numFmtId="166" fontId="22" fillId="0" borderId="38" xfId="0" applyNumberFormat="1" applyFont="1" applyBorder="1" applyAlignment="1">
      <alignment horizontal="center" vertical="center"/>
    </xf>
    <xf numFmtId="0" fontId="22" fillId="0" borderId="32" xfId="0" applyFont="1" applyBorder="1" applyAlignment="1">
      <alignment horizontal="right" vertical="center"/>
    </xf>
    <xf numFmtId="0" fontId="22" fillId="0" borderId="41" xfId="0" applyFont="1" applyBorder="1" applyAlignment="1">
      <alignment horizontal="center" vertical="center"/>
    </xf>
    <xf numFmtId="166" fontId="22" fillId="0" borderId="41" xfId="0" applyNumberFormat="1" applyFont="1" applyBorder="1" applyAlignment="1">
      <alignment horizontal="center" vertical="center"/>
    </xf>
    <xf numFmtId="0" fontId="23" fillId="0" borderId="0" xfId="0" applyFont="1" applyAlignment="1">
      <alignment horizontal="center" vertical="center"/>
    </xf>
    <xf numFmtId="0" fontId="22" fillId="0" borderId="36" xfId="0" applyFont="1" applyBorder="1" applyAlignment="1">
      <alignment vertical="center"/>
    </xf>
    <xf numFmtId="0" fontId="22" fillId="0" borderId="42" xfId="0" applyFont="1" applyBorder="1" applyAlignment="1">
      <alignment vertical="center"/>
    </xf>
    <xf numFmtId="0" fontId="0" fillId="0" borderId="42" xfId="0" applyBorder="1"/>
    <xf numFmtId="0" fontId="22" fillId="0" borderId="37" xfId="0" applyFont="1" applyBorder="1" applyAlignment="1">
      <alignment vertical="center"/>
    </xf>
    <xf numFmtId="0" fontId="18" fillId="0" borderId="0" xfId="0" applyFont="1" applyAlignment="1">
      <alignment vertical="center" wrapText="1"/>
    </xf>
    <xf numFmtId="0" fontId="19" fillId="0" borderId="0" xfId="0" applyFont="1" applyAlignment="1">
      <alignment horizontal="center" vertical="center"/>
    </xf>
    <xf numFmtId="0" fontId="18" fillId="0" borderId="41" xfId="0" applyFont="1" applyBorder="1" applyAlignment="1">
      <alignment vertical="center" wrapText="1"/>
    </xf>
    <xf numFmtId="0" fontId="18" fillId="0" borderId="44" xfId="0" applyFont="1" applyBorder="1" applyAlignment="1">
      <alignment horizontal="center" vertical="center"/>
    </xf>
    <xf numFmtId="0" fontId="18" fillId="0" borderId="45" xfId="0" applyFont="1" applyBorder="1" applyAlignment="1">
      <alignment horizontal="center" vertical="center"/>
    </xf>
    <xf numFmtId="0" fontId="18" fillId="0" borderId="46" xfId="0" applyFont="1" applyBorder="1" applyAlignment="1">
      <alignment horizontal="center" vertical="center"/>
    </xf>
    <xf numFmtId="0" fontId="23" fillId="0" borderId="48" xfId="0" applyFont="1" applyBorder="1" applyAlignment="1">
      <alignment horizontal="center" vertical="center"/>
    </xf>
    <xf numFmtId="0" fontId="18" fillId="0" borderId="48" xfId="0" applyFont="1" applyBorder="1" applyAlignment="1">
      <alignment horizontal="center" vertical="center"/>
    </xf>
    <xf numFmtId="0" fontId="18" fillId="0" borderId="50" xfId="0" applyFont="1" applyBorder="1" applyAlignment="1">
      <alignment horizontal="center" vertical="center"/>
    </xf>
    <xf numFmtId="0" fontId="23" fillId="0" borderId="51" xfId="0" applyFont="1" applyBorder="1" applyAlignment="1">
      <alignment horizontal="right" vertical="center"/>
    </xf>
    <xf numFmtId="0" fontId="23" fillId="0" borderId="52" xfId="0" applyFont="1" applyBorder="1" applyAlignment="1">
      <alignment horizontal="right" vertical="center"/>
    </xf>
    <xf numFmtId="0" fontId="23" fillId="0" borderId="53" xfId="0" applyFont="1" applyBorder="1" applyAlignment="1">
      <alignment horizontal="center" vertical="center"/>
    </xf>
    <xf numFmtId="0" fontId="7" fillId="0" borderId="0" xfId="0" applyFont="1" applyAlignment="1">
      <alignment horizontal="center" vertical="center"/>
    </xf>
    <xf numFmtId="0" fontId="23" fillId="0" borderId="35" xfId="0" applyFont="1" applyBorder="1" applyAlignment="1">
      <alignment horizontal="right" vertical="center"/>
    </xf>
    <xf numFmtId="0" fontId="0" fillId="11" borderId="0" xfId="0" applyFill="1"/>
    <xf numFmtId="0" fontId="20" fillId="11" borderId="0" xfId="0" applyFont="1" applyFill="1" applyAlignment="1">
      <alignment horizontal="center" vertical="center"/>
    </xf>
    <xf numFmtId="0" fontId="21" fillId="11" borderId="0" xfId="0" applyFont="1" applyFill="1" applyAlignment="1">
      <alignment horizontal="center" vertical="center" wrapText="1"/>
    </xf>
    <xf numFmtId="0" fontId="21" fillId="11" borderId="0" xfId="0" applyFont="1" applyFill="1" applyAlignment="1">
      <alignment vertical="center"/>
    </xf>
    <xf numFmtId="0" fontId="21" fillId="11" borderId="0" xfId="0" applyFont="1" applyFill="1" applyAlignment="1">
      <alignment horizontal="center" vertical="center"/>
    </xf>
    <xf numFmtId="3" fontId="21" fillId="11" borderId="0" xfId="0" applyNumberFormat="1" applyFont="1" applyFill="1" applyAlignment="1">
      <alignment horizontal="center" vertical="center"/>
    </xf>
    <xf numFmtId="0" fontId="22" fillId="11" borderId="0" xfId="0" applyFont="1" applyFill="1" applyAlignment="1">
      <alignment horizontal="center" vertical="center"/>
    </xf>
    <xf numFmtId="0" fontId="22" fillId="11" borderId="0" xfId="0" applyFont="1" applyFill="1" applyAlignment="1">
      <alignment vertical="center"/>
    </xf>
    <xf numFmtId="3" fontId="22" fillId="11" borderId="0" xfId="0" applyNumberFormat="1" applyFont="1" applyFill="1" applyAlignment="1">
      <alignment vertical="center"/>
    </xf>
    <xf numFmtId="0" fontId="11" fillId="0" borderId="0" xfId="0" applyFont="1"/>
    <xf numFmtId="0" fontId="11" fillId="0" borderId="0" xfId="0" applyFont="1" applyAlignment="1">
      <alignment wrapText="1"/>
    </xf>
    <xf numFmtId="0" fontId="10" fillId="0" borderId="0" xfId="0" applyFont="1"/>
    <xf numFmtId="0" fontId="10" fillId="0" borderId="0" xfId="0" applyFont="1" applyAlignment="1">
      <alignment wrapText="1"/>
    </xf>
    <xf numFmtId="0" fontId="11" fillId="14" borderId="1" xfId="0" applyFont="1" applyFill="1" applyBorder="1" applyAlignment="1">
      <alignment wrapText="1"/>
    </xf>
    <xf numFmtId="43" fontId="11" fillId="14" borderId="1" xfId="1" applyFont="1" applyFill="1" applyBorder="1" applyAlignment="1">
      <alignment wrapText="1"/>
    </xf>
    <xf numFmtId="0" fontId="10" fillId="0" borderId="1" xfId="0" applyFont="1" applyBorder="1"/>
    <xf numFmtId="0" fontId="10" fillId="0" borderId="1" xfId="0" applyFont="1" applyBorder="1" applyAlignment="1">
      <alignment wrapText="1"/>
    </xf>
    <xf numFmtId="43" fontId="10" fillId="11" borderId="1" xfId="1" applyFont="1" applyFill="1" applyBorder="1"/>
    <xf numFmtId="43" fontId="10" fillId="0" borderId="1" xfId="1" applyFont="1" applyBorder="1"/>
    <xf numFmtId="43" fontId="10" fillId="0" borderId="0" xfId="0" applyNumberFormat="1" applyFont="1"/>
    <xf numFmtId="0" fontId="10" fillId="11" borderId="1" xfId="0" applyFont="1" applyFill="1" applyBorder="1"/>
    <xf numFmtId="0" fontId="10" fillId="11" borderId="1" xfId="0" applyFont="1" applyFill="1" applyBorder="1" applyAlignment="1">
      <alignment wrapText="1"/>
    </xf>
    <xf numFmtId="0" fontId="10" fillId="11" borderId="0" xfId="0" applyFont="1" applyFill="1"/>
    <xf numFmtId="0" fontId="10" fillId="0" borderId="6" xfId="0" applyFont="1" applyBorder="1" applyAlignment="1">
      <alignment wrapText="1"/>
    </xf>
    <xf numFmtId="0" fontId="10" fillId="0" borderId="6" xfId="0" applyFont="1" applyBorder="1"/>
    <xf numFmtId="43" fontId="10" fillId="0" borderId="6" xfId="1" applyFont="1" applyBorder="1"/>
    <xf numFmtId="0" fontId="11" fillId="11" borderId="1" xfId="0" applyFont="1" applyFill="1" applyBorder="1"/>
    <xf numFmtId="0" fontId="11" fillId="11" borderId="1" xfId="0" applyFont="1" applyFill="1" applyBorder="1" applyAlignment="1">
      <alignment wrapText="1"/>
    </xf>
    <xf numFmtId="0" fontId="11" fillId="0" borderId="1" xfId="0" applyFont="1" applyBorder="1"/>
    <xf numFmtId="0" fontId="11" fillId="0" borderId="1" xfId="0" applyFont="1" applyBorder="1" applyAlignment="1">
      <alignment wrapText="1"/>
    </xf>
    <xf numFmtId="43" fontId="10" fillId="0" borderId="1" xfId="1" applyFont="1" applyFill="1" applyBorder="1"/>
    <xf numFmtId="43" fontId="10" fillId="0" borderId="0" xfId="1" applyFont="1"/>
    <xf numFmtId="0" fontId="25" fillId="11" borderId="0" xfId="0" applyFont="1" applyFill="1" applyAlignment="1">
      <alignment horizontal="center" vertical="center"/>
    </xf>
    <xf numFmtId="9" fontId="0" fillId="11" borderId="0" xfId="2" applyFont="1" applyFill="1" applyBorder="1"/>
    <xf numFmtId="44" fontId="10" fillId="11" borderId="1" xfId="3" applyFont="1" applyFill="1" applyBorder="1"/>
    <xf numFmtId="44" fontId="10" fillId="0" borderId="1" xfId="3" applyFont="1" applyBorder="1"/>
    <xf numFmtId="44" fontId="11" fillId="0" borderId="1" xfId="3" applyFont="1" applyBorder="1"/>
    <xf numFmtId="44" fontId="10" fillId="0" borderId="6" xfId="3" applyFont="1" applyBorder="1"/>
    <xf numFmtId="44" fontId="10" fillId="0" borderId="1" xfId="3" applyFont="1" applyFill="1" applyBorder="1"/>
    <xf numFmtId="44" fontId="10" fillId="0" borderId="0" xfId="3" applyFont="1"/>
    <xf numFmtId="0" fontId="10" fillId="11" borderId="0" xfId="0" applyFont="1" applyFill="1" applyAlignment="1">
      <alignment wrapText="1"/>
    </xf>
    <xf numFmtId="43" fontId="11" fillId="0" borderId="0" xfId="1" applyFont="1" applyFill="1"/>
    <xf numFmtId="44" fontId="11" fillId="0" borderId="0" xfId="3" applyFont="1" applyFill="1"/>
    <xf numFmtId="44" fontId="10" fillId="0" borderId="0" xfId="3" applyFont="1" applyFill="1"/>
    <xf numFmtId="43" fontId="10" fillId="0" borderId="0" xfId="1" applyFont="1" applyFill="1"/>
    <xf numFmtId="10" fontId="10" fillId="0" borderId="1" xfId="2" applyNumberFormat="1" applyFont="1" applyBorder="1"/>
    <xf numFmtId="44" fontId="10" fillId="0" borderId="0" xfId="0" applyNumberFormat="1" applyFont="1"/>
    <xf numFmtId="49" fontId="10" fillId="0" borderId="0" xfId="3" applyNumberFormat="1" applyFont="1" applyFill="1"/>
    <xf numFmtId="0" fontId="11" fillId="5" borderId="1" xfId="0" applyFont="1" applyFill="1" applyBorder="1" applyAlignment="1">
      <alignment wrapText="1"/>
    </xf>
    <xf numFmtId="43" fontId="11" fillId="0" borderId="0" xfId="0" applyNumberFormat="1" applyFont="1"/>
    <xf numFmtId="0" fontId="11" fillId="5" borderId="1" xfId="0" applyFont="1" applyFill="1" applyBorder="1"/>
    <xf numFmtId="43" fontId="11" fillId="5" borderId="1" xfId="1" applyFont="1" applyFill="1" applyBorder="1"/>
    <xf numFmtId="44" fontId="11" fillId="5" borderId="1" xfId="3" applyFont="1" applyFill="1" applyBorder="1"/>
    <xf numFmtId="0" fontId="11" fillId="14" borderId="1" xfId="0" applyFont="1" applyFill="1" applyBorder="1"/>
    <xf numFmtId="43" fontId="11" fillId="14" borderId="1" xfId="1" applyFont="1" applyFill="1" applyBorder="1"/>
    <xf numFmtId="44" fontId="11" fillId="14" borderId="1" xfId="3" applyFont="1" applyFill="1" applyBorder="1"/>
    <xf numFmtId="44" fontId="10" fillId="5" borderId="1" xfId="3" applyFont="1" applyFill="1" applyBorder="1"/>
    <xf numFmtId="44" fontId="10" fillId="14" borderId="1" xfId="3" applyFont="1" applyFill="1" applyBorder="1"/>
    <xf numFmtId="44" fontId="10" fillId="0" borderId="0" xfId="3" applyFont="1" applyFill="1" applyAlignment="1">
      <alignment wrapText="1"/>
    </xf>
    <xf numFmtId="44" fontId="11" fillId="14" borderId="1" xfId="3" applyFont="1" applyFill="1" applyBorder="1" applyAlignment="1">
      <alignment horizontal="center" vertical="center" wrapText="1"/>
    </xf>
    <xf numFmtId="43" fontId="10" fillId="0" borderId="6" xfId="1" applyFont="1" applyFill="1" applyBorder="1"/>
    <xf numFmtId="0" fontId="2" fillId="0" borderId="1" xfId="0" applyFont="1" applyBorder="1" applyAlignment="1">
      <alignment horizontal="center" wrapText="1"/>
    </xf>
    <xf numFmtId="0" fontId="2" fillId="0" borderId="2" xfId="0" applyFont="1" applyBorder="1" applyAlignment="1">
      <alignment horizontal="center" wrapText="1"/>
    </xf>
    <xf numFmtId="0" fontId="2" fillId="0" borderId="4" xfId="0" applyFont="1" applyBorder="1" applyAlignment="1">
      <alignment horizontal="center" wrapText="1"/>
    </xf>
    <xf numFmtId="0" fontId="2" fillId="0" borderId="3" xfId="0" applyFont="1" applyBorder="1" applyAlignment="1">
      <alignment horizontal="center" wrapText="1"/>
    </xf>
    <xf numFmtId="0" fontId="2" fillId="0" borderId="1" xfId="0" applyFont="1" applyBorder="1" applyAlignment="1">
      <alignment horizontal="center"/>
    </xf>
    <xf numFmtId="0" fontId="2" fillId="0" borderId="1" xfId="0" applyFont="1" applyBorder="1" applyAlignment="1">
      <alignment horizontal="left"/>
    </xf>
    <xf numFmtId="0" fontId="3" fillId="0" borderId="4" xfId="0" applyFont="1" applyBorder="1" applyAlignment="1">
      <alignment horizontal="left" wrapText="1"/>
    </xf>
    <xf numFmtId="0" fontId="3" fillId="0" borderId="0" xfId="0" applyFont="1" applyAlignment="1">
      <alignment horizontal="left" wrapText="1"/>
    </xf>
    <xf numFmtId="0" fontId="2" fillId="0" borderId="2" xfId="0" applyFont="1" applyBorder="1" applyAlignment="1">
      <alignment horizontal="center"/>
    </xf>
    <xf numFmtId="0" fontId="2" fillId="0" borderId="4" xfId="0" applyFont="1" applyBorder="1" applyAlignment="1">
      <alignment horizontal="center"/>
    </xf>
    <xf numFmtId="0" fontId="2" fillId="0" borderId="3" xfId="0" applyFont="1" applyBorder="1" applyAlignment="1">
      <alignment horizontal="center"/>
    </xf>
    <xf numFmtId="0" fontId="2" fillId="0" borderId="0" xfId="0" applyFont="1" applyAlignment="1">
      <alignment horizontal="left" wrapText="1"/>
    </xf>
    <xf numFmtId="0" fontId="3" fillId="0" borderId="0" xfId="0" applyFont="1" applyAlignment="1">
      <alignment horizontal="center" wrapText="1"/>
    </xf>
    <xf numFmtId="0" fontId="11" fillId="14" borderId="2" xfId="0" applyFont="1" applyFill="1" applyBorder="1" applyAlignment="1">
      <alignment horizontal="center"/>
    </xf>
    <xf numFmtId="0" fontId="11" fillId="14" borderId="4" xfId="0" applyFont="1" applyFill="1" applyBorder="1" applyAlignment="1">
      <alignment horizontal="center"/>
    </xf>
    <xf numFmtId="0" fontId="11" fillId="14" borderId="3" xfId="0" applyFont="1" applyFill="1" applyBorder="1" applyAlignment="1">
      <alignment horizontal="center"/>
    </xf>
    <xf numFmtId="0" fontId="11" fillId="0" borderId="0" xfId="0" applyFont="1" applyAlignment="1">
      <alignment horizontal="center" vertical="center"/>
    </xf>
    <xf numFmtId="0" fontId="10" fillId="0" borderId="0" xfId="0" applyFont="1" applyAlignment="1">
      <alignment horizontal="center"/>
    </xf>
    <xf numFmtId="44" fontId="10" fillId="0" borderId="0" xfId="3" applyFont="1" applyFill="1" applyAlignment="1">
      <alignment horizontal="center" vertical="center"/>
    </xf>
    <xf numFmtId="10" fontId="10" fillId="0" borderId="0" xfId="2" applyNumberFormat="1" applyFont="1" applyFill="1" applyAlignment="1">
      <alignment horizontal="center" vertical="center"/>
    </xf>
    <xf numFmtId="0" fontId="14" fillId="5" borderId="1" xfId="0" applyFont="1" applyFill="1" applyBorder="1" applyAlignment="1">
      <alignment horizontal="center" wrapText="1"/>
    </xf>
    <xf numFmtId="0" fontId="14" fillId="0" borderId="1" xfId="0" applyFont="1" applyBorder="1" applyAlignment="1">
      <alignment horizontal="center" vertical="center"/>
    </xf>
    <xf numFmtId="0" fontId="14" fillId="5" borderId="1" xfId="0" applyFont="1" applyFill="1" applyBorder="1" applyAlignment="1">
      <alignment horizontal="left" wrapText="1"/>
    </xf>
    <xf numFmtId="0" fontId="14" fillId="0" borderId="0" xfId="0" applyFont="1" applyAlignment="1">
      <alignment horizontal="center" vertical="center"/>
    </xf>
    <xf numFmtId="43" fontId="14" fillId="0" borderId="0" xfId="0" applyNumberFormat="1" applyFont="1" applyAlignment="1">
      <alignment horizontal="center" vertical="center"/>
    </xf>
    <xf numFmtId="43" fontId="8" fillId="0" borderId="0" xfId="0" applyNumberFormat="1" applyFont="1" applyAlignment="1">
      <alignment horizontal="center"/>
    </xf>
    <xf numFmtId="0" fontId="8" fillId="0" borderId="0" xfId="0" applyFont="1" applyAlignment="1">
      <alignment horizontal="center"/>
    </xf>
    <xf numFmtId="0" fontId="10" fillId="7" borderId="4" xfId="4" applyFill="1" applyBorder="1" applyAlignment="1">
      <alignment horizontal="center"/>
    </xf>
    <xf numFmtId="0" fontId="11" fillId="8" borderId="7" xfId="4" applyFont="1" applyFill="1" applyBorder="1" applyAlignment="1">
      <alignment horizontal="center" vertical="center" wrapText="1"/>
    </xf>
    <xf numFmtId="0" fontId="11" fillId="8" borderId="5" xfId="4" applyFont="1" applyFill="1" applyBorder="1" applyAlignment="1">
      <alignment horizontal="center" vertical="center" wrapText="1"/>
    </xf>
    <xf numFmtId="0" fontId="11" fillId="8" borderId="8" xfId="4" applyFont="1" applyFill="1" applyBorder="1" applyAlignment="1">
      <alignment horizontal="center" vertical="center" wrapText="1"/>
    </xf>
    <xf numFmtId="0" fontId="11" fillId="8" borderId="9" xfId="4" applyFont="1" applyFill="1" applyBorder="1" applyAlignment="1">
      <alignment horizontal="center" vertical="center" wrapText="1"/>
    </xf>
    <xf numFmtId="0" fontId="11" fillId="8" borderId="10" xfId="4" applyFont="1" applyFill="1" applyBorder="1" applyAlignment="1">
      <alignment horizontal="center" vertical="center" wrapText="1"/>
    </xf>
    <xf numFmtId="0" fontId="11" fillId="8" borderId="11" xfId="4" applyFont="1" applyFill="1" applyBorder="1" applyAlignment="1">
      <alignment horizontal="center" vertical="center" wrapText="1"/>
    </xf>
    <xf numFmtId="0" fontId="11" fillId="8" borderId="7" xfId="4" applyFont="1" applyFill="1" applyBorder="1" applyAlignment="1">
      <alignment horizontal="center" vertical="center"/>
    </xf>
    <xf numFmtId="0" fontId="11" fillId="8" borderId="8" xfId="4" applyFont="1" applyFill="1" applyBorder="1" applyAlignment="1">
      <alignment horizontal="center" vertical="center"/>
    </xf>
    <xf numFmtId="0" fontId="11" fillId="8" borderId="9" xfId="4" applyFont="1" applyFill="1" applyBorder="1" applyAlignment="1">
      <alignment horizontal="center" vertical="center"/>
    </xf>
    <xf numFmtId="0" fontId="11" fillId="8" borderId="11" xfId="4" applyFont="1" applyFill="1" applyBorder="1" applyAlignment="1">
      <alignment horizontal="center" vertical="center"/>
    </xf>
    <xf numFmtId="10" fontId="10" fillId="7" borderId="13" xfId="4" applyNumberFormat="1" applyFill="1" applyBorder="1" applyAlignment="1">
      <alignment horizontal="center" vertical="center"/>
    </xf>
    <xf numFmtId="10" fontId="10" fillId="7" borderId="14" xfId="4" applyNumberFormat="1" applyFill="1" applyBorder="1" applyAlignment="1">
      <alignment horizontal="center" vertical="center"/>
    </xf>
    <xf numFmtId="10" fontId="10" fillId="7" borderId="17" xfId="4" applyNumberFormat="1" applyFill="1" applyBorder="1" applyAlignment="1">
      <alignment horizontal="center" vertical="center"/>
    </xf>
    <xf numFmtId="10" fontId="10" fillId="7" borderId="18" xfId="4" applyNumberFormat="1" applyFill="1" applyBorder="1" applyAlignment="1">
      <alignment horizontal="center" vertical="center"/>
    </xf>
    <xf numFmtId="0" fontId="10" fillId="0" borderId="2" xfId="4" applyBorder="1" applyAlignment="1">
      <alignment horizontal="center"/>
    </xf>
    <xf numFmtId="0" fontId="10" fillId="0" borderId="4" xfId="4" applyBorder="1" applyAlignment="1">
      <alignment horizontal="center"/>
    </xf>
    <xf numFmtId="0" fontId="10" fillId="0" borderId="3" xfId="4" applyBorder="1" applyAlignment="1">
      <alignment horizontal="center"/>
    </xf>
    <xf numFmtId="10" fontId="10" fillId="7" borderId="4" xfId="4" applyNumberFormat="1" applyFill="1" applyBorder="1" applyAlignment="1">
      <alignment horizontal="center" vertical="center"/>
    </xf>
    <xf numFmtId="10" fontId="10" fillId="7" borderId="3" xfId="4" applyNumberFormat="1" applyFill="1" applyBorder="1" applyAlignment="1">
      <alignment horizontal="center" vertical="center"/>
    </xf>
    <xf numFmtId="10" fontId="10" fillId="8" borderId="2" xfId="4" applyNumberFormat="1" applyFill="1" applyBorder="1" applyAlignment="1">
      <alignment horizontal="center" vertical="center"/>
    </xf>
    <xf numFmtId="10" fontId="10" fillId="8" borderId="4" xfId="4" applyNumberFormat="1" applyFill="1" applyBorder="1" applyAlignment="1">
      <alignment horizontal="center" vertical="center"/>
    </xf>
    <xf numFmtId="10" fontId="10" fillId="8" borderId="3" xfId="4" applyNumberFormat="1" applyFill="1" applyBorder="1" applyAlignment="1">
      <alignment horizontal="center" vertical="center"/>
    </xf>
    <xf numFmtId="0" fontId="10" fillId="0" borderId="21" xfId="4" applyBorder="1" applyAlignment="1">
      <alignment horizontal="center"/>
    </xf>
    <xf numFmtId="0" fontId="10" fillId="0" borderId="13" xfId="4" applyBorder="1" applyAlignment="1">
      <alignment horizontal="center"/>
    </xf>
    <xf numFmtId="0" fontId="10" fillId="0" borderId="14" xfId="4" applyBorder="1" applyAlignment="1">
      <alignment horizontal="center"/>
    </xf>
    <xf numFmtId="0" fontId="10" fillId="0" borderId="22" xfId="4" applyBorder="1" applyAlignment="1">
      <alignment horizontal="center"/>
    </xf>
    <xf numFmtId="0" fontId="10" fillId="0" borderId="17" xfId="4" applyBorder="1" applyAlignment="1">
      <alignment horizontal="center"/>
    </xf>
    <xf numFmtId="0" fontId="10" fillId="0" borderId="18" xfId="4" applyBorder="1" applyAlignment="1">
      <alignment horizontal="center"/>
    </xf>
    <xf numFmtId="0" fontId="10" fillId="0" borderId="23" xfId="4" applyBorder="1" applyAlignment="1">
      <alignment horizontal="center"/>
    </xf>
    <xf numFmtId="0" fontId="10" fillId="0" borderId="24" xfId="4" applyBorder="1" applyAlignment="1">
      <alignment horizontal="center"/>
    </xf>
    <xf numFmtId="0" fontId="10" fillId="0" borderId="25" xfId="4" applyBorder="1" applyAlignment="1">
      <alignment horizontal="center"/>
    </xf>
    <xf numFmtId="0" fontId="10" fillId="9" borderId="2" xfId="4" applyFill="1" applyBorder="1" applyAlignment="1">
      <alignment horizontal="center"/>
    </xf>
    <xf numFmtId="0" fontId="10" fillId="9" borderId="4" xfId="4" applyFill="1" applyBorder="1" applyAlignment="1">
      <alignment horizontal="center"/>
    </xf>
    <xf numFmtId="0" fontId="10" fillId="9" borderId="3" xfId="4" applyFill="1" applyBorder="1" applyAlignment="1">
      <alignment horizontal="center"/>
    </xf>
    <xf numFmtId="0" fontId="13" fillId="5" borderId="7" xfId="0" applyFont="1" applyFill="1" applyBorder="1" applyAlignment="1">
      <alignment horizontal="center" vertical="center"/>
    </xf>
    <xf numFmtId="0" fontId="13" fillId="5" borderId="5" xfId="0" applyFont="1" applyFill="1" applyBorder="1" applyAlignment="1">
      <alignment horizontal="center" vertical="center"/>
    </xf>
    <xf numFmtId="0" fontId="13" fillId="5" borderId="8" xfId="0" applyFont="1" applyFill="1" applyBorder="1" applyAlignment="1">
      <alignment horizontal="center" vertical="center"/>
    </xf>
    <xf numFmtId="0" fontId="13" fillId="5" borderId="9" xfId="0" applyFont="1" applyFill="1" applyBorder="1" applyAlignment="1">
      <alignment horizontal="center" vertical="center"/>
    </xf>
    <xf numFmtId="0" fontId="13" fillId="5" borderId="10" xfId="0" applyFont="1" applyFill="1" applyBorder="1" applyAlignment="1">
      <alignment horizontal="center" vertical="center"/>
    </xf>
    <xf numFmtId="0" fontId="13" fillId="5" borderId="11" xfId="0" applyFont="1" applyFill="1" applyBorder="1" applyAlignment="1">
      <alignment horizontal="center" vertical="center"/>
    </xf>
    <xf numFmtId="0" fontId="13" fillId="5" borderId="1" xfId="0" applyFont="1" applyFill="1" applyBorder="1" applyAlignment="1">
      <alignment horizontal="center" vertical="center"/>
    </xf>
    <xf numFmtId="43" fontId="13" fillId="5" borderId="1" xfId="0" applyNumberFormat="1" applyFont="1" applyFill="1" applyBorder="1" applyAlignment="1">
      <alignment horizontal="center" vertical="center"/>
    </xf>
    <xf numFmtId="0" fontId="12" fillId="10" borderId="6" xfId="0" applyFont="1" applyFill="1" applyBorder="1" applyAlignment="1">
      <alignment horizontal="center" vertical="center"/>
    </xf>
    <xf numFmtId="0" fontId="12" fillId="10" borderId="26" xfId="0" applyFont="1" applyFill="1" applyBorder="1" applyAlignment="1">
      <alignment horizontal="center" vertical="center"/>
    </xf>
    <xf numFmtId="43" fontId="12" fillId="10" borderId="7" xfId="0" applyNumberFormat="1" applyFont="1" applyFill="1" applyBorder="1" applyAlignment="1">
      <alignment horizontal="left" vertical="center" wrapText="1"/>
    </xf>
    <xf numFmtId="0" fontId="12" fillId="10" borderId="8" xfId="0" applyFont="1" applyFill="1" applyBorder="1" applyAlignment="1">
      <alignment horizontal="left" vertical="center" wrapText="1"/>
    </xf>
    <xf numFmtId="0" fontId="12" fillId="10" borderId="9" xfId="0" applyFont="1" applyFill="1" applyBorder="1" applyAlignment="1">
      <alignment horizontal="left" vertical="center" wrapText="1"/>
    </xf>
    <xf numFmtId="0" fontId="12" fillId="10" borderId="11" xfId="0" applyFont="1" applyFill="1" applyBorder="1" applyAlignment="1">
      <alignment horizontal="left" vertical="center" wrapText="1"/>
    </xf>
    <xf numFmtId="0" fontId="12" fillId="0" borderId="6" xfId="0" applyFont="1" applyBorder="1" applyAlignment="1">
      <alignment horizontal="center" vertical="center"/>
    </xf>
    <xf numFmtId="0" fontId="12" fillId="0" borderId="26" xfId="0" applyFont="1" applyBorder="1" applyAlignment="1">
      <alignment horizontal="center" vertical="center"/>
    </xf>
    <xf numFmtId="1" fontId="12" fillId="0" borderId="7" xfId="0" applyNumberFormat="1" applyFont="1" applyBorder="1" applyAlignment="1">
      <alignment horizontal="left" vertical="center" wrapText="1"/>
    </xf>
    <xf numFmtId="1" fontId="12" fillId="0" borderId="8" xfId="0" applyNumberFormat="1" applyFont="1" applyBorder="1" applyAlignment="1">
      <alignment horizontal="left" vertical="center" wrapText="1"/>
    </xf>
    <xf numFmtId="1" fontId="12" fillId="0" borderId="9" xfId="0" applyNumberFormat="1" applyFont="1" applyBorder="1" applyAlignment="1">
      <alignment horizontal="left" vertical="center" wrapText="1"/>
    </xf>
    <xf numFmtId="1" fontId="12" fillId="0" borderId="11" xfId="0" applyNumberFormat="1" applyFont="1" applyBorder="1" applyAlignment="1">
      <alignment horizontal="left" vertical="center" wrapText="1"/>
    </xf>
    <xf numFmtId="1" fontId="12" fillId="10" borderId="7" xfId="0" applyNumberFormat="1" applyFont="1" applyFill="1" applyBorder="1" applyAlignment="1">
      <alignment horizontal="left" vertical="center" wrapText="1"/>
    </xf>
    <xf numFmtId="1" fontId="12" fillId="10" borderId="8" xfId="0" applyNumberFormat="1" applyFont="1" applyFill="1" applyBorder="1" applyAlignment="1">
      <alignment horizontal="left" vertical="center" wrapText="1"/>
    </xf>
    <xf numFmtId="1" fontId="12" fillId="10" borderId="9" xfId="0" applyNumberFormat="1" applyFont="1" applyFill="1" applyBorder="1" applyAlignment="1">
      <alignment horizontal="left" vertical="center" wrapText="1"/>
    </xf>
    <xf numFmtId="1" fontId="12" fillId="10" borderId="11" xfId="0" applyNumberFormat="1" applyFont="1" applyFill="1" applyBorder="1" applyAlignment="1">
      <alignment horizontal="left" vertical="center" wrapText="1"/>
    </xf>
    <xf numFmtId="43" fontId="12" fillId="0" borderId="7" xfId="0" applyNumberFormat="1" applyFont="1" applyBorder="1" applyAlignment="1">
      <alignment horizontal="left" vertical="center" wrapText="1"/>
    </xf>
    <xf numFmtId="0" fontId="12" fillId="0" borderId="8" xfId="0" applyFont="1" applyBorder="1" applyAlignment="1">
      <alignment horizontal="left" vertical="center" wrapText="1"/>
    </xf>
    <xf numFmtId="0" fontId="12" fillId="0" borderId="9" xfId="0" applyFont="1" applyBorder="1" applyAlignment="1">
      <alignment horizontal="left" vertical="center" wrapText="1"/>
    </xf>
    <xf numFmtId="0" fontId="12" fillId="0" borderId="11" xfId="0" applyFont="1" applyBorder="1" applyAlignment="1">
      <alignment horizontal="left" vertical="center" wrapText="1"/>
    </xf>
    <xf numFmtId="0" fontId="13" fillId="5" borderId="1" xfId="0" applyFont="1" applyFill="1" applyBorder="1" applyAlignment="1">
      <alignment horizontal="left" vertical="center"/>
    </xf>
    <xf numFmtId="1" fontId="12" fillId="10" borderId="1" xfId="0" applyNumberFormat="1" applyFont="1" applyFill="1" applyBorder="1" applyAlignment="1">
      <alignment horizontal="left" vertical="center" wrapText="1"/>
    </xf>
    <xf numFmtId="0" fontId="12" fillId="10" borderId="1" xfId="0" applyFont="1" applyFill="1" applyBorder="1" applyAlignment="1">
      <alignment horizontal="left" vertical="center" wrapText="1"/>
    </xf>
    <xf numFmtId="0" fontId="16" fillId="0" borderId="0" xfId="0" applyFont="1" applyAlignment="1">
      <alignment horizontal="center" vertical="center"/>
    </xf>
    <xf numFmtId="0" fontId="20" fillId="12" borderId="29" xfId="0" applyFont="1" applyFill="1" applyBorder="1" applyAlignment="1">
      <alignment horizontal="center" vertical="center"/>
    </xf>
    <xf numFmtId="0" fontId="20" fillId="12" borderId="31" xfId="0" applyFont="1" applyFill="1" applyBorder="1" applyAlignment="1">
      <alignment horizontal="center" vertical="center"/>
    </xf>
    <xf numFmtId="0" fontId="18" fillId="0" borderId="29" xfId="0" applyFont="1" applyBorder="1" applyAlignment="1">
      <alignment vertical="center"/>
    </xf>
    <xf numFmtId="0" fontId="18" fillId="0" borderId="32" xfId="0" applyFont="1" applyBorder="1" applyAlignment="1">
      <alignment vertical="center"/>
    </xf>
    <xf numFmtId="0" fontId="18" fillId="0" borderId="31" xfId="0" applyFont="1" applyBorder="1" applyAlignment="1">
      <alignment vertical="center"/>
    </xf>
    <xf numFmtId="0" fontId="18" fillId="0" borderId="29" xfId="0" applyFont="1" applyBorder="1" applyAlignment="1">
      <alignment horizontal="center" vertical="center"/>
    </xf>
    <xf numFmtId="0" fontId="18" fillId="0" borderId="32" xfId="0" applyFont="1" applyBorder="1" applyAlignment="1">
      <alignment horizontal="center" vertical="center"/>
    </xf>
    <xf numFmtId="0" fontId="18" fillId="0" borderId="31" xfId="0" applyFont="1" applyBorder="1" applyAlignment="1">
      <alignment horizontal="center" vertical="center"/>
    </xf>
    <xf numFmtId="0" fontId="23" fillId="0" borderId="33" xfId="0" applyFont="1" applyBorder="1" applyAlignment="1">
      <alignment horizontal="right" vertical="center"/>
    </xf>
    <xf numFmtId="0" fontId="23" fillId="0" borderId="28" xfId="0" applyFont="1" applyBorder="1" applyAlignment="1">
      <alignment horizontal="right" vertical="center"/>
    </xf>
    <xf numFmtId="0" fontId="22" fillId="0" borderId="33" xfId="0" applyFont="1" applyBorder="1" applyAlignment="1">
      <alignment vertical="center"/>
    </xf>
    <xf numFmtId="0" fontId="22" fillId="0" borderId="34" xfId="0" applyFont="1" applyBorder="1" applyAlignment="1">
      <alignment vertical="center"/>
    </xf>
    <xf numFmtId="0" fontId="22" fillId="0" borderId="28" xfId="0" applyFont="1" applyBorder="1" applyAlignment="1">
      <alignment vertical="center"/>
    </xf>
    <xf numFmtId="0" fontId="18" fillId="0" borderId="36" xfId="0" applyFont="1" applyBorder="1" applyAlignment="1">
      <alignment horizontal="center" vertical="center"/>
    </xf>
    <xf numFmtId="0" fontId="18" fillId="0" borderId="37" xfId="0" applyFont="1" applyBorder="1" applyAlignment="1">
      <alignment horizontal="center" vertical="center"/>
    </xf>
    <xf numFmtId="0" fontId="18" fillId="0" borderId="43" xfId="0" applyFont="1" applyBorder="1" applyAlignment="1">
      <alignment horizontal="center" vertical="center"/>
    </xf>
    <xf numFmtId="0" fontId="18" fillId="0" borderId="47" xfId="0" applyFont="1" applyBorder="1" applyAlignment="1">
      <alignment horizontal="center" vertical="center"/>
    </xf>
    <xf numFmtId="0" fontId="18" fillId="0" borderId="49" xfId="0" applyFont="1" applyBorder="1" applyAlignment="1">
      <alignment horizontal="center" vertical="center"/>
    </xf>
    <xf numFmtId="0" fontId="23" fillId="0" borderId="0" xfId="0" applyFont="1" applyAlignment="1">
      <alignment horizontal="right" vertical="center"/>
    </xf>
    <xf numFmtId="0" fontId="18" fillId="0" borderId="0" xfId="0" applyFont="1" applyAlignment="1">
      <alignment horizontal="center" vertical="center"/>
    </xf>
    <xf numFmtId="0" fontId="24" fillId="13" borderId="40" xfId="0" applyFont="1" applyFill="1" applyBorder="1" applyAlignment="1">
      <alignment horizontal="center" vertical="center"/>
    </xf>
    <xf numFmtId="0" fontId="24" fillId="11" borderId="0" xfId="0" applyFont="1" applyFill="1" applyAlignment="1">
      <alignment horizontal="center" vertical="center"/>
    </xf>
    <xf numFmtId="0" fontId="18" fillId="0" borderId="0" xfId="0" applyFont="1" applyAlignment="1">
      <alignment vertical="center"/>
    </xf>
  </cellXfs>
  <cellStyles count="6">
    <cellStyle name="Moeda" xfId="3" builtinId="4"/>
    <cellStyle name="Normal" xfId="0" builtinId="0"/>
    <cellStyle name="Normal 2" xfId="4" xr:uid="{53404E6E-3561-4631-9905-E5956B6F6941}"/>
    <cellStyle name="Porcentagem" xfId="2" builtinId="5"/>
    <cellStyle name="Porcentagem 2" xfId="5" xr:uid="{3E4C5604-FA3B-48B9-9D23-AC29A7E4616E}"/>
    <cellStyle name="Vírgula" xfId="1" builtinId="3"/>
  </cellStyles>
  <dxfs count="5">
    <dxf>
      <fill>
        <patternFill patternType="gray125">
          <bgColor indexed="51"/>
        </patternFill>
      </fill>
    </dxf>
    <dxf>
      <fill>
        <patternFill patternType="gray0625">
          <bgColor indexed="51"/>
        </patternFill>
      </fill>
    </dxf>
    <dxf>
      <font>
        <condense val="0"/>
        <extend val="0"/>
        <color indexed="10"/>
      </font>
      <fill>
        <patternFill>
          <bgColor indexed="51"/>
        </patternFill>
      </fill>
    </dxf>
    <dxf>
      <font>
        <condense val="0"/>
        <extend val="0"/>
        <color indexed="12"/>
      </font>
      <fill>
        <patternFill>
          <bgColor indexed="27"/>
        </patternFill>
      </fill>
    </dxf>
    <dxf>
      <font>
        <b/>
        <i/>
        <condense val="0"/>
        <extend val="0"/>
        <color indexed="1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71</xdr:row>
      <xdr:rowOff>54429</xdr:rowOff>
    </xdr:from>
    <xdr:to>
      <xdr:col>0</xdr:col>
      <xdr:colOff>0</xdr:colOff>
      <xdr:row>91</xdr:row>
      <xdr:rowOff>83079</xdr:rowOff>
    </xdr:to>
    <xdr:pic>
      <xdr:nvPicPr>
        <xdr:cNvPr id="5" name="Imagem 4">
          <a:extLst>
            <a:ext uri="{FF2B5EF4-FFF2-40B4-BE49-F238E27FC236}">
              <a16:creationId xmlns:a16="http://schemas.microsoft.com/office/drawing/2014/main" id="{6EC19974-E730-04D7-68CA-21B6676FB182}"/>
            </a:ext>
          </a:extLst>
        </xdr:cNvPr>
        <xdr:cNvPicPr>
          <a:picLocks noChangeAspect="1"/>
        </xdr:cNvPicPr>
      </xdr:nvPicPr>
      <xdr:blipFill>
        <a:blip xmlns:r="http://schemas.openxmlformats.org/officeDocument/2006/relationships" r:embed="rId1"/>
        <a:stretch>
          <a:fillRect/>
        </a:stretch>
      </xdr:blipFill>
      <xdr:spPr>
        <a:xfrm flipH="1">
          <a:off x="0" y="13579929"/>
          <a:ext cx="0" cy="3838650"/>
        </a:xfrm>
        <a:prstGeom prst="rect">
          <a:avLst/>
        </a:prstGeom>
      </xdr:spPr>
    </xdr:pic>
    <xdr:clientData/>
  </xdr:twoCellAnchor>
  <xdr:twoCellAnchor editAs="oneCell">
    <xdr:from>
      <xdr:col>12</xdr:col>
      <xdr:colOff>598804</xdr:colOff>
      <xdr:row>0</xdr:row>
      <xdr:rowOff>0</xdr:rowOff>
    </xdr:from>
    <xdr:to>
      <xdr:col>19</xdr:col>
      <xdr:colOff>196371</xdr:colOff>
      <xdr:row>11</xdr:row>
      <xdr:rowOff>89297</xdr:rowOff>
    </xdr:to>
    <xdr:pic>
      <xdr:nvPicPr>
        <xdr:cNvPr id="7" name="Imagem 6">
          <a:extLst>
            <a:ext uri="{FF2B5EF4-FFF2-40B4-BE49-F238E27FC236}">
              <a16:creationId xmlns:a16="http://schemas.microsoft.com/office/drawing/2014/main" id="{436F74CF-6649-36DA-72BE-AC4FDFB7479D}"/>
            </a:ext>
          </a:extLst>
        </xdr:cNvPr>
        <xdr:cNvPicPr>
          <a:picLocks noChangeAspect="1"/>
        </xdr:cNvPicPr>
      </xdr:nvPicPr>
      <xdr:blipFill>
        <a:blip xmlns:r="http://schemas.openxmlformats.org/officeDocument/2006/relationships" r:embed="rId2"/>
        <a:stretch>
          <a:fillRect/>
        </a:stretch>
      </xdr:blipFill>
      <xdr:spPr>
        <a:xfrm>
          <a:off x="7949863" y="0"/>
          <a:ext cx="3885684" cy="2143709"/>
        </a:xfrm>
        <a:prstGeom prst="rect">
          <a:avLst/>
        </a:prstGeom>
      </xdr:spPr>
    </xdr:pic>
    <xdr:clientData/>
  </xdr:twoCellAnchor>
  <xdr:twoCellAnchor editAs="oneCell">
    <xdr:from>
      <xdr:col>12</xdr:col>
      <xdr:colOff>267611</xdr:colOff>
      <xdr:row>22</xdr:row>
      <xdr:rowOff>149679</xdr:rowOff>
    </xdr:from>
    <xdr:to>
      <xdr:col>20</xdr:col>
      <xdr:colOff>233874</xdr:colOff>
      <xdr:row>37</xdr:row>
      <xdr:rowOff>28649</xdr:rowOff>
    </xdr:to>
    <xdr:pic>
      <xdr:nvPicPr>
        <xdr:cNvPr id="10" name="Imagem 9">
          <a:extLst>
            <a:ext uri="{FF2B5EF4-FFF2-40B4-BE49-F238E27FC236}">
              <a16:creationId xmlns:a16="http://schemas.microsoft.com/office/drawing/2014/main" id="{C6C09CCF-46C2-4380-E22E-05DDD744BEA4}"/>
            </a:ext>
          </a:extLst>
        </xdr:cNvPr>
        <xdr:cNvPicPr>
          <a:picLocks noChangeAspect="1"/>
        </xdr:cNvPicPr>
      </xdr:nvPicPr>
      <xdr:blipFill>
        <a:blip xmlns:r="http://schemas.openxmlformats.org/officeDocument/2006/relationships" r:embed="rId3"/>
        <a:stretch>
          <a:fillRect/>
        </a:stretch>
      </xdr:blipFill>
      <xdr:spPr>
        <a:xfrm>
          <a:off x="7615468" y="4340679"/>
          <a:ext cx="4864835" cy="2736470"/>
        </a:xfrm>
        <a:prstGeom prst="rect">
          <a:avLst/>
        </a:prstGeom>
      </xdr:spPr>
    </xdr:pic>
    <xdr:clientData/>
  </xdr:twoCellAnchor>
  <xdr:twoCellAnchor editAs="oneCell">
    <xdr:from>
      <xdr:col>15</xdr:col>
      <xdr:colOff>171450</xdr:colOff>
      <xdr:row>11</xdr:row>
      <xdr:rowOff>95250</xdr:rowOff>
    </xdr:from>
    <xdr:to>
      <xdr:col>17</xdr:col>
      <xdr:colOff>396875</xdr:colOff>
      <xdr:row>22</xdr:row>
      <xdr:rowOff>76118</xdr:rowOff>
    </xdr:to>
    <xdr:pic>
      <xdr:nvPicPr>
        <xdr:cNvPr id="11" name="Imagem 10">
          <a:extLst>
            <a:ext uri="{FF2B5EF4-FFF2-40B4-BE49-F238E27FC236}">
              <a16:creationId xmlns:a16="http://schemas.microsoft.com/office/drawing/2014/main" id="{09325DEF-574C-9614-5A9A-34722C409575}"/>
            </a:ext>
          </a:extLst>
        </xdr:cNvPr>
        <xdr:cNvPicPr>
          <a:picLocks noChangeAspect="1"/>
        </xdr:cNvPicPr>
      </xdr:nvPicPr>
      <xdr:blipFill rotWithShape="1">
        <a:blip xmlns:r="http://schemas.openxmlformats.org/officeDocument/2006/relationships" r:embed="rId4"/>
        <a:srcRect l="11978" t="35027" r="71687" b="23312"/>
        <a:stretch/>
      </xdr:blipFill>
      <xdr:spPr>
        <a:xfrm>
          <a:off x="9220200" y="2190750"/>
          <a:ext cx="1431925" cy="2076368"/>
        </a:xfrm>
        <a:prstGeom prst="rect">
          <a:avLst/>
        </a:prstGeom>
      </xdr:spPr>
    </xdr:pic>
    <xdr:clientData/>
  </xdr:twoCellAnchor>
  <xdr:twoCellAnchor editAs="oneCell">
    <xdr:from>
      <xdr:col>0</xdr:col>
      <xdr:colOff>0</xdr:colOff>
      <xdr:row>0</xdr:row>
      <xdr:rowOff>0</xdr:rowOff>
    </xdr:from>
    <xdr:to>
      <xdr:col>8</xdr:col>
      <xdr:colOff>225827</xdr:colOff>
      <xdr:row>13</xdr:row>
      <xdr:rowOff>111125</xdr:rowOff>
    </xdr:to>
    <xdr:pic>
      <xdr:nvPicPr>
        <xdr:cNvPr id="8" name="Imagem 7">
          <a:extLst>
            <a:ext uri="{FF2B5EF4-FFF2-40B4-BE49-F238E27FC236}">
              <a16:creationId xmlns:a16="http://schemas.microsoft.com/office/drawing/2014/main" id="{5F6118C7-F62B-669A-2245-9A36FE9DB242}"/>
            </a:ext>
          </a:extLst>
        </xdr:cNvPr>
        <xdr:cNvPicPr>
          <a:picLocks noChangeAspect="1"/>
        </xdr:cNvPicPr>
      </xdr:nvPicPr>
      <xdr:blipFill>
        <a:blip xmlns:r="http://schemas.openxmlformats.org/officeDocument/2006/relationships" r:embed="rId5"/>
        <a:stretch>
          <a:fillRect/>
        </a:stretch>
      </xdr:blipFill>
      <xdr:spPr>
        <a:xfrm>
          <a:off x="0" y="0"/>
          <a:ext cx="5051827" cy="2587625"/>
        </a:xfrm>
        <a:prstGeom prst="rect">
          <a:avLst/>
        </a:prstGeom>
      </xdr:spPr>
    </xdr:pic>
    <xdr:clientData/>
  </xdr:twoCellAnchor>
  <xdr:twoCellAnchor editAs="oneCell">
    <xdr:from>
      <xdr:col>0</xdr:col>
      <xdr:colOff>0</xdr:colOff>
      <xdr:row>14</xdr:row>
      <xdr:rowOff>47625</xdr:rowOff>
    </xdr:from>
    <xdr:to>
      <xdr:col>8</xdr:col>
      <xdr:colOff>97998</xdr:colOff>
      <xdr:row>26</xdr:row>
      <xdr:rowOff>158750</xdr:rowOff>
    </xdr:to>
    <xdr:pic>
      <xdr:nvPicPr>
        <xdr:cNvPr id="9" name="Imagem 8">
          <a:extLst>
            <a:ext uri="{FF2B5EF4-FFF2-40B4-BE49-F238E27FC236}">
              <a16:creationId xmlns:a16="http://schemas.microsoft.com/office/drawing/2014/main" id="{49A97C03-5400-72C3-812B-D7B852645D53}"/>
            </a:ext>
          </a:extLst>
        </xdr:cNvPr>
        <xdr:cNvPicPr>
          <a:picLocks noChangeAspect="1"/>
        </xdr:cNvPicPr>
      </xdr:nvPicPr>
      <xdr:blipFill>
        <a:blip xmlns:r="http://schemas.openxmlformats.org/officeDocument/2006/relationships" r:embed="rId6"/>
        <a:stretch>
          <a:fillRect/>
        </a:stretch>
      </xdr:blipFill>
      <xdr:spPr>
        <a:xfrm>
          <a:off x="0" y="2714625"/>
          <a:ext cx="4923998" cy="2397125"/>
        </a:xfrm>
        <a:prstGeom prst="rect">
          <a:avLst/>
        </a:prstGeom>
      </xdr:spPr>
    </xdr:pic>
    <xdr:clientData/>
  </xdr:twoCellAnchor>
  <xdr:twoCellAnchor editAs="oneCell">
    <xdr:from>
      <xdr:col>0</xdr:col>
      <xdr:colOff>0</xdr:colOff>
      <xdr:row>27</xdr:row>
      <xdr:rowOff>47625</xdr:rowOff>
    </xdr:from>
    <xdr:to>
      <xdr:col>8</xdr:col>
      <xdr:colOff>41813</xdr:colOff>
      <xdr:row>39</xdr:row>
      <xdr:rowOff>158750</xdr:rowOff>
    </xdr:to>
    <xdr:pic>
      <xdr:nvPicPr>
        <xdr:cNvPr id="12" name="Imagem 11">
          <a:extLst>
            <a:ext uri="{FF2B5EF4-FFF2-40B4-BE49-F238E27FC236}">
              <a16:creationId xmlns:a16="http://schemas.microsoft.com/office/drawing/2014/main" id="{567F91EC-4268-8310-7C8B-85B62E11F59E}"/>
            </a:ext>
          </a:extLst>
        </xdr:cNvPr>
        <xdr:cNvPicPr>
          <a:picLocks noChangeAspect="1"/>
        </xdr:cNvPicPr>
      </xdr:nvPicPr>
      <xdr:blipFill>
        <a:blip xmlns:r="http://schemas.openxmlformats.org/officeDocument/2006/relationships" r:embed="rId7"/>
        <a:stretch>
          <a:fillRect/>
        </a:stretch>
      </xdr:blipFill>
      <xdr:spPr>
        <a:xfrm>
          <a:off x="0" y="5191125"/>
          <a:ext cx="4867813" cy="2397125"/>
        </a:xfrm>
        <a:prstGeom prst="rect">
          <a:avLst/>
        </a:prstGeom>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BBE2F7-997A-41AA-998C-A80C3B2B697B}">
  <dimension ref="A1:J916"/>
  <sheetViews>
    <sheetView topLeftCell="A513" zoomScale="85" zoomScaleNormal="85" workbookViewId="0">
      <selection activeCell="A362" sqref="A362"/>
    </sheetView>
  </sheetViews>
  <sheetFormatPr defaultColWidth="8.7265625" defaultRowHeight="14.5" x14ac:dyDescent="0.35"/>
  <cols>
    <col min="1" max="1" width="11.54296875" style="4" customWidth="1"/>
    <col min="2" max="2" width="13.26953125" style="4" customWidth="1"/>
    <col min="3" max="3" width="12.26953125" style="4" bestFit="1" customWidth="1"/>
    <col min="4" max="4" width="16.453125" style="4" customWidth="1"/>
    <col min="5" max="5" width="12" style="4" customWidth="1"/>
    <col min="6" max="7" width="10.453125" style="4" customWidth="1"/>
    <col min="8" max="8" width="12.26953125" style="4" bestFit="1" customWidth="1"/>
    <col min="9" max="9" width="13" style="4" customWidth="1"/>
    <col min="10" max="10" width="8.7265625" style="4"/>
    <col min="11" max="11" width="12.26953125" style="4" bestFit="1" customWidth="1"/>
    <col min="12" max="16384" width="8.7265625" style="4"/>
  </cols>
  <sheetData>
    <row r="1" spans="1:10" x14ac:dyDescent="0.35">
      <c r="A1" s="229" t="s">
        <v>0</v>
      </c>
      <c r="B1" s="229"/>
      <c r="C1" s="229"/>
      <c r="D1" s="229"/>
      <c r="E1" s="229"/>
      <c r="F1" s="229"/>
      <c r="G1" s="229"/>
      <c r="H1" s="229"/>
      <c r="I1" s="229"/>
      <c r="J1" s="229"/>
    </row>
    <row r="2" spans="1:10" x14ac:dyDescent="0.35">
      <c r="A2" s="21" t="s">
        <v>222</v>
      </c>
      <c r="B2" s="22"/>
      <c r="C2" s="22"/>
      <c r="D2" s="22"/>
      <c r="E2" s="22"/>
      <c r="F2" s="22"/>
      <c r="G2" s="22"/>
      <c r="H2" s="22"/>
      <c r="I2" s="22"/>
      <c r="J2" s="22"/>
    </row>
    <row r="3" spans="1:10" x14ac:dyDescent="0.35">
      <c r="A3" s="3" t="s">
        <v>17</v>
      </c>
    </row>
    <row r="4" spans="1:10" x14ac:dyDescent="0.35">
      <c r="A4" s="3" t="s">
        <v>19</v>
      </c>
    </row>
    <row r="5" spans="1:10" ht="29" x14ac:dyDescent="0.35">
      <c r="A5" s="5" t="s">
        <v>20</v>
      </c>
      <c r="B5" s="5" t="s">
        <v>23</v>
      </c>
      <c r="C5" s="5" t="s">
        <v>24</v>
      </c>
      <c r="D5" s="5" t="s">
        <v>29</v>
      </c>
      <c r="E5" s="5" t="s">
        <v>30</v>
      </c>
      <c r="F5" s="5" t="s">
        <v>32</v>
      </c>
      <c r="G5" s="5" t="s">
        <v>31</v>
      </c>
    </row>
    <row r="6" spans="1:10" x14ac:dyDescent="0.35">
      <c r="A6" s="5">
        <v>80</v>
      </c>
      <c r="B6" s="5">
        <v>0.2</v>
      </c>
      <c r="C6" s="5">
        <v>3</v>
      </c>
      <c r="D6" s="5">
        <f>A6*(PI()*(B6^2)/4)*C6</f>
        <v>7.5398223686155035</v>
      </c>
      <c r="E6" s="5">
        <f>A6*(PI()*(B6^2)/4)*0.05</f>
        <v>0.12566370614359174</v>
      </c>
      <c r="F6" s="5">
        <f>D6</f>
        <v>7.5398223686155035</v>
      </c>
      <c r="G6" s="5">
        <f>F6*80</f>
        <v>603.18578948924028</v>
      </c>
    </row>
    <row r="7" spans="1:10" x14ac:dyDescent="0.35">
      <c r="A7" s="3" t="s">
        <v>25</v>
      </c>
    </row>
    <row r="8" spans="1:10" ht="29" x14ac:dyDescent="0.35">
      <c r="A8" s="5" t="s">
        <v>20</v>
      </c>
      <c r="B8" s="5" t="s">
        <v>26</v>
      </c>
      <c r="C8" s="5" t="s">
        <v>27</v>
      </c>
      <c r="D8" s="5" t="s">
        <v>28</v>
      </c>
      <c r="E8" s="5" t="s">
        <v>29</v>
      </c>
      <c r="F8" s="5" t="s">
        <v>30</v>
      </c>
      <c r="G8" s="5" t="s">
        <v>33</v>
      </c>
      <c r="H8" s="5" t="s">
        <v>32</v>
      </c>
      <c r="I8" s="5" t="s">
        <v>31</v>
      </c>
      <c r="J8" s="5" t="s">
        <v>34</v>
      </c>
    </row>
    <row r="9" spans="1:10" x14ac:dyDescent="0.35">
      <c r="A9" s="5">
        <f>A6</f>
        <v>80</v>
      </c>
      <c r="B9" s="5">
        <v>0.4</v>
      </c>
      <c r="C9" s="5">
        <v>0.4</v>
      </c>
      <c r="D9" s="5">
        <v>0.3</v>
      </c>
      <c r="E9" s="5">
        <f>A9*(B9+0.2)*(C9+0.2)*D9</f>
        <v>8.6400000000000023</v>
      </c>
      <c r="F9" s="5">
        <f>A9*B9*C9*0.05</f>
        <v>0.64000000000000012</v>
      </c>
      <c r="G9" s="5">
        <f>A9*4*B9*D9</f>
        <v>38.4</v>
      </c>
      <c r="H9" s="5">
        <f>A9*B9*C9*D9</f>
        <v>3.84</v>
      </c>
      <c r="I9" s="5">
        <f>H9*80</f>
        <v>307.2</v>
      </c>
      <c r="J9" s="5">
        <f>E9-H9</f>
        <v>4.8000000000000025</v>
      </c>
    </row>
    <row r="11" spans="1:10" x14ac:dyDescent="0.35">
      <c r="A11" s="228" t="s">
        <v>21</v>
      </c>
      <c r="B11" s="228"/>
    </row>
    <row r="12" spans="1:10" x14ac:dyDescent="0.35">
      <c r="A12" s="5" t="s">
        <v>20</v>
      </c>
      <c r="B12" s="5" t="s">
        <v>22</v>
      </c>
      <c r="C12" s="5" t="s">
        <v>36</v>
      </c>
    </row>
    <row r="13" spans="1:10" x14ac:dyDescent="0.35">
      <c r="A13" s="5">
        <v>3</v>
      </c>
      <c r="B13" s="5">
        <v>7.85</v>
      </c>
      <c r="C13" s="5">
        <f>B13*A13</f>
        <v>23.549999999999997</v>
      </c>
    </row>
    <row r="14" spans="1:10" x14ac:dyDescent="0.35">
      <c r="A14" s="5">
        <v>1</v>
      </c>
      <c r="B14" s="5">
        <v>3.1</v>
      </c>
      <c r="C14" s="5">
        <f t="shared" ref="C14:C51" si="0">B14*A14</f>
        <v>3.1</v>
      </c>
    </row>
    <row r="15" spans="1:10" x14ac:dyDescent="0.35">
      <c r="A15" s="5">
        <v>1</v>
      </c>
      <c r="B15" s="5">
        <v>4.75</v>
      </c>
      <c r="C15" s="5">
        <f t="shared" si="0"/>
        <v>4.75</v>
      </c>
    </row>
    <row r="16" spans="1:10" x14ac:dyDescent="0.35">
      <c r="A16" s="5">
        <v>1</v>
      </c>
      <c r="B16" s="5">
        <v>2.74</v>
      </c>
      <c r="C16" s="5">
        <f t="shared" si="0"/>
        <v>2.74</v>
      </c>
    </row>
    <row r="17" spans="1:3" x14ac:dyDescent="0.35">
      <c r="A17" s="5">
        <v>1</v>
      </c>
      <c r="B17" s="5">
        <v>5.69</v>
      </c>
      <c r="C17" s="5">
        <f t="shared" si="0"/>
        <v>5.69</v>
      </c>
    </row>
    <row r="18" spans="1:3" x14ac:dyDescent="0.35">
      <c r="A18" s="5">
        <v>1</v>
      </c>
      <c r="B18" s="5">
        <v>5.01</v>
      </c>
      <c r="C18" s="5">
        <f t="shared" si="0"/>
        <v>5.01</v>
      </c>
    </row>
    <row r="19" spans="1:3" x14ac:dyDescent="0.35">
      <c r="A19" s="5">
        <v>2</v>
      </c>
      <c r="B19" s="5">
        <v>1.85</v>
      </c>
      <c r="C19" s="5">
        <f t="shared" si="0"/>
        <v>3.7</v>
      </c>
    </row>
    <row r="20" spans="1:3" x14ac:dyDescent="0.35">
      <c r="A20" s="5">
        <v>1</v>
      </c>
      <c r="B20" s="5">
        <v>14.55</v>
      </c>
      <c r="C20" s="5">
        <f t="shared" si="0"/>
        <v>14.55</v>
      </c>
    </row>
    <row r="21" spans="1:3" x14ac:dyDescent="0.35">
      <c r="A21" s="5">
        <v>1</v>
      </c>
      <c r="B21" s="5">
        <v>4.5999999999999996</v>
      </c>
      <c r="C21" s="5">
        <f t="shared" si="0"/>
        <v>4.5999999999999996</v>
      </c>
    </row>
    <row r="22" spans="1:3" x14ac:dyDescent="0.35">
      <c r="A22" s="5">
        <v>1</v>
      </c>
      <c r="B22" s="5">
        <v>11.79</v>
      </c>
      <c r="C22" s="5">
        <f t="shared" si="0"/>
        <v>11.79</v>
      </c>
    </row>
    <row r="23" spans="1:3" x14ac:dyDescent="0.35">
      <c r="A23" s="5">
        <v>1</v>
      </c>
      <c r="B23" s="5">
        <v>16.32</v>
      </c>
      <c r="C23" s="5">
        <f t="shared" si="0"/>
        <v>16.32</v>
      </c>
    </row>
    <row r="24" spans="1:3" x14ac:dyDescent="0.35">
      <c r="A24" s="5">
        <v>1</v>
      </c>
      <c r="B24" s="5">
        <v>15.84</v>
      </c>
      <c r="C24" s="5">
        <f t="shared" si="0"/>
        <v>15.84</v>
      </c>
    </row>
    <row r="25" spans="1:3" x14ac:dyDescent="0.35">
      <c r="A25" s="5">
        <v>1</v>
      </c>
      <c r="B25" s="5">
        <v>12.69</v>
      </c>
      <c r="C25" s="5">
        <f t="shared" si="0"/>
        <v>12.69</v>
      </c>
    </row>
    <row r="26" spans="1:3" x14ac:dyDescent="0.35">
      <c r="A26" s="5">
        <v>1</v>
      </c>
      <c r="B26" s="5">
        <v>3.84</v>
      </c>
      <c r="C26" s="5">
        <f t="shared" si="0"/>
        <v>3.84</v>
      </c>
    </row>
    <row r="27" spans="1:3" x14ac:dyDescent="0.35">
      <c r="A27" s="5">
        <v>1</v>
      </c>
      <c r="B27" s="5">
        <v>8.9600000000000009</v>
      </c>
      <c r="C27" s="5">
        <f t="shared" si="0"/>
        <v>8.9600000000000009</v>
      </c>
    </row>
    <row r="28" spans="1:3" x14ac:dyDescent="0.35">
      <c r="A28" s="5">
        <v>1</v>
      </c>
      <c r="B28" s="5">
        <v>3.72</v>
      </c>
      <c r="C28" s="5">
        <f t="shared" si="0"/>
        <v>3.72</v>
      </c>
    </row>
    <row r="29" spans="1:3" x14ac:dyDescent="0.35">
      <c r="A29" s="5">
        <v>1</v>
      </c>
      <c r="B29" s="5">
        <v>5.27</v>
      </c>
      <c r="C29" s="5">
        <f t="shared" si="0"/>
        <v>5.27</v>
      </c>
    </row>
    <row r="30" spans="1:3" x14ac:dyDescent="0.35">
      <c r="A30" s="5">
        <v>1</v>
      </c>
      <c r="B30" s="5">
        <v>9.07</v>
      </c>
      <c r="C30" s="5">
        <f t="shared" si="0"/>
        <v>9.07</v>
      </c>
    </row>
    <row r="31" spans="1:3" x14ac:dyDescent="0.35">
      <c r="A31" s="5">
        <v>1</v>
      </c>
      <c r="B31" s="5">
        <v>1.98</v>
      </c>
      <c r="C31" s="5">
        <f t="shared" si="0"/>
        <v>1.98</v>
      </c>
    </row>
    <row r="32" spans="1:3" x14ac:dyDescent="0.35">
      <c r="A32" s="5">
        <v>1</v>
      </c>
      <c r="B32" s="5">
        <v>3.69</v>
      </c>
      <c r="C32" s="5">
        <f t="shared" si="0"/>
        <v>3.69</v>
      </c>
    </row>
    <row r="33" spans="1:3" x14ac:dyDescent="0.35">
      <c r="A33" s="5">
        <v>1</v>
      </c>
      <c r="B33" s="5">
        <v>10</v>
      </c>
      <c r="C33" s="5">
        <f t="shared" si="0"/>
        <v>10</v>
      </c>
    </row>
    <row r="34" spans="1:3" x14ac:dyDescent="0.35">
      <c r="A34" s="5">
        <v>1</v>
      </c>
      <c r="B34" s="5">
        <v>10.11</v>
      </c>
      <c r="C34" s="5">
        <f t="shared" si="0"/>
        <v>10.11</v>
      </c>
    </row>
    <row r="35" spans="1:3" x14ac:dyDescent="0.35">
      <c r="A35" s="5">
        <v>1</v>
      </c>
      <c r="B35" s="5">
        <v>3.7</v>
      </c>
      <c r="C35" s="5">
        <f t="shared" si="0"/>
        <v>3.7</v>
      </c>
    </row>
    <row r="36" spans="1:3" x14ac:dyDescent="0.35">
      <c r="A36" s="5">
        <v>1</v>
      </c>
      <c r="B36" s="5">
        <v>2.14</v>
      </c>
      <c r="C36" s="5">
        <f t="shared" si="0"/>
        <v>2.14</v>
      </c>
    </row>
    <row r="37" spans="1:3" x14ac:dyDescent="0.35">
      <c r="A37" s="5">
        <v>1</v>
      </c>
      <c r="B37" s="5">
        <v>1.56</v>
      </c>
      <c r="C37" s="5">
        <f t="shared" si="0"/>
        <v>1.56</v>
      </c>
    </row>
    <row r="38" spans="1:3" x14ac:dyDescent="0.35">
      <c r="A38" s="5">
        <v>1</v>
      </c>
      <c r="B38" s="5">
        <v>6.41</v>
      </c>
      <c r="C38" s="5">
        <f t="shared" si="0"/>
        <v>6.41</v>
      </c>
    </row>
    <row r="39" spans="1:3" x14ac:dyDescent="0.35">
      <c r="A39" s="5">
        <v>2</v>
      </c>
      <c r="B39" s="5">
        <v>9.82</v>
      </c>
      <c r="C39" s="5">
        <f t="shared" si="0"/>
        <v>19.64</v>
      </c>
    </row>
    <row r="40" spans="1:3" x14ac:dyDescent="0.35">
      <c r="A40" s="5">
        <v>1</v>
      </c>
      <c r="B40" s="5">
        <v>4.97</v>
      </c>
      <c r="C40" s="5">
        <f t="shared" si="0"/>
        <v>4.97</v>
      </c>
    </row>
    <row r="41" spans="1:3" x14ac:dyDescent="0.35">
      <c r="A41" s="5">
        <v>1</v>
      </c>
      <c r="B41" s="5">
        <v>4.8499999999999996</v>
      </c>
      <c r="C41" s="5">
        <f t="shared" si="0"/>
        <v>4.8499999999999996</v>
      </c>
    </row>
    <row r="42" spans="1:3" x14ac:dyDescent="0.35">
      <c r="A42" s="5">
        <v>1</v>
      </c>
      <c r="B42" s="5">
        <v>10.95</v>
      </c>
      <c r="C42" s="5">
        <f t="shared" si="0"/>
        <v>10.95</v>
      </c>
    </row>
    <row r="43" spans="1:3" x14ac:dyDescent="0.35">
      <c r="A43" s="5">
        <v>2</v>
      </c>
      <c r="B43" s="5">
        <v>5.51</v>
      </c>
      <c r="C43" s="5">
        <f t="shared" si="0"/>
        <v>11.02</v>
      </c>
    </row>
    <row r="44" spans="1:3" x14ac:dyDescent="0.35">
      <c r="A44" s="5">
        <v>1</v>
      </c>
      <c r="B44" s="5">
        <v>9.11</v>
      </c>
      <c r="C44" s="5">
        <f t="shared" si="0"/>
        <v>9.11</v>
      </c>
    </row>
    <row r="45" spans="1:3" x14ac:dyDescent="0.35">
      <c r="A45" s="5">
        <v>1</v>
      </c>
      <c r="B45" s="5">
        <v>4.5</v>
      </c>
      <c r="C45" s="5">
        <f t="shared" si="0"/>
        <v>4.5</v>
      </c>
    </row>
    <row r="46" spans="1:3" x14ac:dyDescent="0.35">
      <c r="A46" s="5">
        <v>2</v>
      </c>
      <c r="B46" s="5">
        <v>4.75</v>
      </c>
      <c r="C46" s="5">
        <f t="shared" si="0"/>
        <v>9.5</v>
      </c>
    </row>
    <row r="47" spans="1:3" x14ac:dyDescent="0.35">
      <c r="A47" s="5">
        <v>1</v>
      </c>
      <c r="B47" s="5">
        <v>6.7</v>
      </c>
      <c r="C47" s="5">
        <f t="shared" si="0"/>
        <v>6.7</v>
      </c>
    </row>
    <row r="48" spans="1:3" x14ac:dyDescent="0.35">
      <c r="A48" s="5">
        <v>1</v>
      </c>
      <c r="B48" s="5">
        <v>12.23</v>
      </c>
      <c r="C48" s="5">
        <f t="shared" si="0"/>
        <v>12.23</v>
      </c>
    </row>
    <row r="49" spans="1:10" x14ac:dyDescent="0.35">
      <c r="A49" s="5">
        <v>1</v>
      </c>
      <c r="B49" s="5">
        <v>6.1</v>
      </c>
      <c r="C49" s="5">
        <f t="shared" si="0"/>
        <v>6.1</v>
      </c>
    </row>
    <row r="50" spans="1:10" x14ac:dyDescent="0.35">
      <c r="A50" s="5">
        <v>1</v>
      </c>
      <c r="B50" s="5">
        <v>9.1999999999999993</v>
      </c>
      <c r="C50" s="5">
        <f t="shared" si="0"/>
        <v>9.1999999999999993</v>
      </c>
    </row>
    <row r="51" spans="1:10" x14ac:dyDescent="0.35">
      <c r="A51" s="5">
        <v>2</v>
      </c>
      <c r="B51" s="5">
        <v>3.1</v>
      </c>
      <c r="C51" s="5">
        <f t="shared" si="0"/>
        <v>6.2</v>
      </c>
    </row>
    <row r="52" spans="1:10" x14ac:dyDescent="0.35">
      <c r="A52" s="218" t="s">
        <v>37</v>
      </c>
      <c r="B52" s="220"/>
      <c r="C52" s="5">
        <f>SUM(C13:C51)</f>
        <v>309.74999999999994</v>
      </c>
    </row>
    <row r="53" spans="1:10" x14ac:dyDescent="0.35">
      <c r="A53" s="223" t="s">
        <v>38</v>
      </c>
      <c r="B53" s="223"/>
    </row>
    <row r="54" spans="1:10" ht="29" x14ac:dyDescent="0.35">
      <c r="A54" s="5" t="s">
        <v>20</v>
      </c>
      <c r="B54" s="5" t="s">
        <v>26</v>
      </c>
      <c r="C54" s="5" t="s">
        <v>27</v>
      </c>
      <c r="D54" s="5" t="s">
        <v>28</v>
      </c>
      <c r="E54" s="5" t="s">
        <v>29</v>
      </c>
      <c r="F54" s="5" t="s">
        <v>30</v>
      </c>
      <c r="G54" s="5" t="s">
        <v>33</v>
      </c>
      <c r="H54" s="5" t="s">
        <v>32</v>
      </c>
      <c r="I54" s="5" t="s">
        <v>31</v>
      </c>
      <c r="J54" s="5" t="s">
        <v>34</v>
      </c>
    </row>
    <row r="55" spans="1:10" x14ac:dyDescent="0.35">
      <c r="A55" s="14">
        <v>1</v>
      </c>
      <c r="B55" s="14">
        <v>0.3</v>
      </c>
      <c r="C55" s="5">
        <f>C52</f>
        <v>309.74999999999994</v>
      </c>
      <c r="D55" s="5">
        <v>0.3</v>
      </c>
      <c r="E55" s="5">
        <f>A55*(B55+0.2)*(C55+0.2)*D55</f>
        <v>46.492499999999986</v>
      </c>
      <c r="F55" s="5">
        <f>A55*B55*C55*0.05</f>
        <v>4.6462499999999993</v>
      </c>
      <c r="G55" s="5">
        <f>A55*2*C55*D55</f>
        <v>185.84999999999997</v>
      </c>
      <c r="H55" s="5">
        <f>A55*B55*C55*D55</f>
        <v>27.877499999999994</v>
      </c>
      <c r="I55" s="5">
        <f>H55*80</f>
        <v>2230.1999999999994</v>
      </c>
      <c r="J55" s="5">
        <f>E55-H55</f>
        <v>18.614999999999991</v>
      </c>
    </row>
    <row r="57" spans="1:10" x14ac:dyDescent="0.35">
      <c r="A57" s="228" t="s">
        <v>97</v>
      </c>
      <c r="B57" s="228"/>
    </row>
    <row r="58" spans="1:10" x14ac:dyDescent="0.35">
      <c r="A58" s="15"/>
      <c r="B58" s="15" t="s">
        <v>45</v>
      </c>
    </row>
    <row r="59" spans="1:10" x14ac:dyDescent="0.35">
      <c r="A59" s="5" t="s">
        <v>25</v>
      </c>
      <c r="B59" s="5">
        <f>C9*A9*D9*2+A9*2*B9*D9</f>
        <v>38.4</v>
      </c>
    </row>
    <row r="60" spans="1:10" x14ac:dyDescent="0.35">
      <c r="A60" s="5" t="s">
        <v>98</v>
      </c>
      <c r="B60" s="5">
        <f>C55*D55*2+B55*C55</f>
        <v>278.77499999999998</v>
      </c>
    </row>
    <row r="61" spans="1:10" x14ac:dyDescent="0.35">
      <c r="A61" s="5" t="s">
        <v>37</v>
      </c>
      <c r="B61" s="5">
        <f>B59+B60</f>
        <v>317.17499999999995</v>
      </c>
    </row>
    <row r="62" spans="1:10" ht="15" customHeight="1" x14ac:dyDescent="0.35">
      <c r="A62" s="3" t="s">
        <v>35</v>
      </c>
    </row>
    <row r="63" spans="1:10" ht="29" x14ac:dyDescent="0.35">
      <c r="A63" s="5" t="s">
        <v>20</v>
      </c>
      <c r="B63" s="5" t="s">
        <v>26</v>
      </c>
      <c r="C63" s="5" t="s">
        <v>27</v>
      </c>
      <c r="D63" s="5" t="s">
        <v>28</v>
      </c>
      <c r="E63" s="5" t="s">
        <v>33</v>
      </c>
      <c r="F63" s="5" t="s">
        <v>32</v>
      </c>
      <c r="G63" s="5" t="s">
        <v>31</v>
      </c>
    </row>
    <row r="64" spans="1:10" x14ac:dyDescent="0.35">
      <c r="A64" s="5">
        <f>A6</f>
        <v>80</v>
      </c>
      <c r="B64" s="5">
        <v>0.2</v>
      </c>
      <c r="C64" s="5">
        <v>0.2</v>
      </c>
      <c r="D64" s="5">
        <v>3</v>
      </c>
      <c r="E64" s="5">
        <f>A64*(2*B64*D64+2*C64*D64)</f>
        <v>192.00000000000003</v>
      </c>
      <c r="F64" s="5">
        <f>A64*B64*C64*D64</f>
        <v>9.6000000000000014</v>
      </c>
      <c r="G64" s="5">
        <f>F64*80</f>
        <v>768.00000000000011</v>
      </c>
    </row>
    <row r="65" spans="1:7" x14ac:dyDescent="0.35">
      <c r="A65" s="223" t="s">
        <v>39</v>
      </c>
      <c r="B65" s="223"/>
    </row>
    <row r="66" spans="1:7" ht="29" x14ac:dyDescent="0.35">
      <c r="A66" s="5" t="s">
        <v>20</v>
      </c>
      <c r="B66" s="5" t="s">
        <v>26</v>
      </c>
      <c r="C66" s="5" t="s">
        <v>27</v>
      </c>
      <c r="D66" s="5" t="s">
        <v>28</v>
      </c>
      <c r="E66" s="5" t="s">
        <v>33</v>
      </c>
      <c r="F66" s="5" t="s">
        <v>32</v>
      </c>
      <c r="G66" s="5" t="s">
        <v>31</v>
      </c>
    </row>
    <row r="67" spans="1:7" x14ac:dyDescent="0.35">
      <c r="A67" s="5">
        <v>1</v>
      </c>
      <c r="B67" s="5">
        <v>0.2</v>
      </c>
      <c r="C67" s="5">
        <f>C55</f>
        <v>309.74999999999994</v>
      </c>
      <c r="D67" s="5">
        <v>0.2</v>
      </c>
      <c r="E67" s="5">
        <f>A67*(2*C67*D67+1*B67*C67)</f>
        <v>185.84999999999997</v>
      </c>
      <c r="F67" s="5">
        <f>A67*B67*C67*D67</f>
        <v>12.389999999999999</v>
      </c>
      <c r="G67" s="5">
        <f>F67*80</f>
        <v>991.19999999999993</v>
      </c>
    </row>
    <row r="68" spans="1:7" x14ac:dyDescent="0.35">
      <c r="A68" s="3" t="s">
        <v>40</v>
      </c>
    </row>
    <row r="69" spans="1:7" x14ac:dyDescent="0.35">
      <c r="A69" s="1" t="s">
        <v>43</v>
      </c>
    </row>
    <row r="70" spans="1:7" x14ac:dyDescent="0.35">
      <c r="A70" s="5" t="s">
        <v>44</v>
      </c>
      <c r="B70" s="5" t="s">
        <v>22</v>
      </c>
      <c r="C70" s="5" t="s">
        <v>45</v>
      </c>
    </row>
    <row r="71" spans="1:7" x14ac:dyDescent="0.35">
      <c r="A71" s="5">
        <v>3.1</v>
      </c>
      <c r="B71" s="5">
        <v>5.45</v>
      </c>
      <c r="C71" s="5">
        <f>B71*A71</f>
        <v>16.895</v>
      </c>
      <c r="E71" s="4" t="s">
        <v>46</v>
      </c>
      <c r="F71" s="4">
        <f>C71+C72+C74+C75+C80+C82+C89+C96</f>
        <v>145.46379999999999</v>
      </c>
      <c r="G71" s="4" t="s">
        <v>16</v>
      </c>
    </row>
    <row r="72" spans="1:7" x14ac:dyDescent="0.35">
      <c r="A72" s="5">
        <v>3.1</v>
      </c>
      <c r="B72" s="5">
        <v>4.7300000000000004</v>
      </c>
      <c r="C72" s="5">
        <f t="shared" ref="C72:C96" si="1">B72*A72</f>
        <v>14.663000000000002</v>
      </c>
      <c r="E72" s="4" t="s">
        <v>47</v>
      </c>
      <c r="F72" s="4">
        <f>C97-F71</f>
        <v>214.80790000000002</v>
      </c>
      <c r="G72" s="4" t="s">
        <v>16</v>
      </c>
    </row>
    <row r="73" spans="1:7" x14ac:dyDescent="0.35">
      <c r="A73" s="5">
        <v>2.5499999999999998</v>
      </c>
      <c r="B73" s="5">
        <v>4.75</v>
      </c>
      <c r="C73" s="5">
        <f t="shared" si="1"/>
        <v>12.112499999999999</v>
      </c>
    </row>
    <row r="74" spans="1:7" x14ac:dyDescent="0.35">
      <c r="A74" s="5">
        <v>3.5</v>
      </c>
      <c r="B74" s="5">
        <v>4.75</v>
      </c>
      <c r="C74" s="5">
        <f t="shared" si="1"/>
        <v>16.625</v>
      </c>
    </row>
    <row r="75" spans="1:7" x14ac:dyDescent="0.35">
      <c r="A75" s="5">
        <v>3.1</v>
      </c>
      <c r="B75" s="5">
        <v>4.75</v>
      </c>
      <c r="C75" s="5">
        <f t="shared" si="1"/>
        <v>14.725</v>
      </c>
    </row>
    <row r="76" spans="1:7" x14ac:dyDescent="0.35">
      <c r="A76" s="5">
        <v>1.91</v>
      </c>
      <c r="B76" s="5">
        <v>4.75</v>
      </c>
      <c r="C76" s="5">
        <f t="shared" si="1"/>
        <v>9.0724999999999998</v>
      </c>
    </row>
    <row r="77" spans="1:7" x14ac:dyDescent="0.35">
      <c r="A77" s="5">
        <v>2.84</v>
      </c>
      <c r="B77" s="5">
        <v>3.1</v>
      </c>
      <c r="C77" s="5">
        <f t="shared" si="1"/>
        <v>8.8040000000000003</v>
      </c>
    </row>
    <row r="78" spans="1:7" x14ac:dyDescent="0.35">
      <c r="A78" s="5">
        <v>2.74</v>
      </c>
      <c r="B78" s="5">
        <v>5.45</v>
      </c>
      <c r="C78" s="5">
        <f t="shared" si="1"/>
        <v>14.933000000000002</v>
      </c>
    </row>
    <row r="79" spans="1:7" x14ac:dyDescent="0.35">
      <c r="A79" s="5">
        <v>1.95</v>
      </c>
      <c r="B79" s="5">
        <v>5.01</v>
      </c>
      <c r="C79" s="5">
        <f t="shared" si="1"/>
        <v>9.769499999999999</v>
      </c>
    </row>
    <row r="80" spans="1:7" x14ac:dyDescent="0.35">
      <c r="A80" s="5">
        <v>3.6</v>
      </c>
      <c r="B80" s="5">
        <v>3.84</v>
      </c>
      <c r="C80" s="5">
        <f t="shared" si="1"/>
        <v>13.824</v>
      </c>
    </row>
    <row r="81" spans="1:3" x14ac:dyDescent="0.35">
      <c r="A81" s="5">
        <v>2.97</v>
      </c>
      <c r="B81" s="5">
        <v>3.59</v>
      </c>
      <c r="C81" s="5">
        <f t="shared" si="1"/>
        <v>10.6623</v>
      </c>
    </row>
    <row r="82" spans="1:3" x14ac:dyDescent="0.35">
      <c r="A82" s="5">
        <v>3.26</v>
      </c>
      <c r="B82" s="5">
        <v>11.79</v>
      </c>
      <c r="C82" s="5">
        <f t="shared" si="1"/>
        <v>38.435399999999994</v>
      </c>
    </row>
    <row r="83" spans="1:3" x14ac:dyDescent="0.35">
      <c r="A83" s="5">
        <v>2.5499999999999998</v>
      </c>
      <c r="B83" s="5">
        <v>11.79</v>
      </c>
      <c r="C83" s="5">
        <f t="shared" si="1"/>
        <v>30.064499999999995</v>
      </c>
    </row>
    <row r="84" spans="1:3" x14ac:dyDescent="0.35">
      <c r="A84" s="5">
        <v>2.56</v>
      </c>
      <c r="B84" s="5">
        <v>4.5999999999999996</v>
      </c>
      <c r="C84" s="5">
        <f t="shared" si="1"/>
        <v>11.776</v>
      </c>
    </row>
    <row r="85" spans="1:3" x14ac:dyDescent="0.35">
      <c r="A85" s="5">
        <v>2.95</v>
      </c>
      <c r="B85" s="5">
        <v>4.5999999999999996</v>
      </c>
      <c r="C85" s="5">
        <f t="shared" si="1"/>
        <v>13.57</v>
      </c>
    </row>
    <row r="86" spans="1:3" x14ac:dyDescent="0.35">
      <c r="A86" s="5">
        <v>2.61</v>
      </c>
      <c r="B86" s="5">
        <v>12.69</v>
      </c>
      <c r="C86" s="5">
        <f t="shared" si="1"/>
        <v>33.120899999999999</v>
      </c>
    </row>
    <row r="87" spans="1:3" x14ac:dyDescent="0.35">
      <c r="A87" s="5">
        <v>2.0499999999999998</v>
      </c>
      <c r="B87" s="5">
        <v>3.65</v>
      </c>
      <c r="C87" s="5">
        <f t="shared" si="1"/>
        <v>7.482499999999999</v>
      </c>
    </row>
    <row r="88" spans="1:3" x14ac:dyDescent="0.35">
      <c r="A88" s="5">
        <v>1.55</v>
      </c>
      <c r="B88" s="5">
        <v>3.65</v>
      </c>
      <c r="C88" s="5">
        <f t="shared" si="1"/>
        <v>5.6574999999999998</v>
      </c>
    </row>
    <row r="89" spans="1:3" x14ac:dyDescent="0.35">
      <c r="A89" s="5">
        <v>3.28</v>
      </c>
      <c r="B89" s="5">
        <v>3.6</v>
      </c>
      <c r="C89" s="5">
        <f t="shared" si="1"/>
        <v>11.808</v>
      </c>
    </row>
    <row r="90" spans="1:3" x14ac:dyDescent="0.35">
      <c r="A90" s="5">
        <v>3.01</v>
      </c>
      <c r="B90" s="5">
        <v>3.6</v>
      </c>
      <c r="C90" s="5">
        <f t="shared" si="1"/>
        <v>10.836</v>
      </c>
    </row>
    <row r="91" spans="1:3" x14ac:dyDescent="0.35">
      <c r="A91" s="5">
        <v>2.04</v>
      </c>
      <c r="B91" s="5">
        <v>2.7</v>
      </c>
      <c r="C91" s="5">
        <f t="shared" si="1"/>
        <v>5.5080000000000009</v>
      </c>
    </row>
    <row r="92" spans="1:3" x14ac:dyDescent="0.35">
      <c r="A92" s="5">
        <v>1.92</v>
      </c>
      <c r="B92" s="5">
        <v>3.7</v>
      </c>
      <c r="C92" s="5">
        <f t="shared" si="1"/>
        <v>7.1040000000000001</v>
      </c>
    </row>
    <row r="93" spans="1:3" x14ac:dyDescent="0.35">
      <c r="A93" s="5">
        <v>1.72</v>
      </c>
      <c r="B93" s="5">
        <v>3.7</v>
      </c>
      <c r="C93" s="5">
        <f t="shared" si="1"/>
        <v>6.3639999999999999</v>
      </c>
    </row>
    <row r="94" spans="1:3" x14ac:dyDescent="0.35">
      <c r="A94" s="5">
        <v>1.56</v>
      </c>
      <c r="B94" s="5">
        <v>5.27</v>
      </c>
      <c r="C94" s="5">
        <f t="shared" si="1"/>
        <v>8.2211999999999996</v>
      </c>
    </row>
    <row r="95" spans="1:3" x14ac:dyDescent="0.35">
      <c r="A95" s="5">
        <v>1.85</v>
      </c>
      <c r="B95" s="5">
        <v>5.27</v>
      </c>
      <c r="C95" s="5">
        <f t="shared" si="1"/>
        <v>9.7494999999999994</v>
      </c>
    </row>
    <row r="96" spans="1:3" x14ac:dyDescent="0.35">
      <c r="A96" s="5">
        <v>3.72</v>
      </c>
      <c r="B96" s="5">
        <v>4.97</v>
      </c>
      <c r="C96" s="5">
        <f t="shared" si="1"/>
        <v>18.488399999999999</v>
      </c>
    </row>
    <row r="97" spans="1:8" x14ac:dyDescent="0.35">
      <c r="A97" s="218" t="s">
        <v>37</v>
      </c>
      <c r="B97" s="220"/>
      <c r="C97" s="5">
        <f>SUM(C71:C96)</f>
        <v>360.27170000000001</v>
      </c>
    </row>
    <row r="98" spans="1:8" x14ac:dyDescent="0.35">
      <c r="A98" s="9" t="s">
        <v>48</v>
      </c>
      <c r="B98" s="7"/>
    </row>
    <row r="99" spans="1:8" x14ac:dyDescent="0.35">
      <c r="A99" s="6" t="s">
        <v>49</v>
      </c>
      <c r="B99" s="6" t="s">
        <v>28</v>
      </c>
      <c r="C99" s="5" t="s">
        <v>50</v>
      </c>
    </row>
    <row r="100" spans="1:8" x14ac:dyDescent="0.35">
      <c r="A100" s="6">
        <f>C97</f>
        <v>360.27170000000001</v>
      </c>
      <c r="B100" s="6">
        <v>3</v>
      </c>
      <c r="C100" s="5">
        <f>B100*A100</f>
        <v>1080.8151</v>
      </c>
    </row>
    <row r="102" spans="1:8" x14ac:dyDescent="0.35">
      <c r="A102" s="4" t="s">
        <v>41</v>
      </c>
    </row>
    <row r="103" spans="1:8" ht="29" x14ac:dyDescent="0.35">
      <c r="A103" s="5" t="s">
        <v>20</v>
      </c>
      <c r="B103" s="5" t="s">
        <v>26</v>
      </c>
      <c r="C103" s="5" t="s">
        <v>27</v>
      </c>
      <c r="D103" s="5" t="s">
        <v>28</v>
      </c>
      <c r="E103" s="5" t="s">
        <v>33</v>
      </c>
      <c r="F103" s="5" t="s">
        <v>32</v>
      </c>
      <c r="G103" s="5" t="s">
        <v>31</v>
      </c>
      <c r="H103" s="5" t="s">
        <v>52</v>
      </c>
    </row>
    <row r="104" spans="1:8" x14ac:dyDescent="0.35">
      <c r="A104" s="5">
        <v>1</v>
      </c>
      <c r="B104" s="5">
        <v>3.1</v>
      </c>
      <c r="C104" s="5">
        <v>2.4</v>
      </c>
      <c r="D104" s="5">
        <v>0.2</v>
      </c>
      <c r="E104" s="5">
        <f>A104*(2*C104*D104+1*B104*C104)</f>
        <v>8.3999999999999986</v>
      </c>
      <c r="F104" s="5">
        <f>A104*B104*C104*D104</f>
        <v>1.488</v>
      </c>
      <c r="G104" s="5">
        <f>F104*80</f>
        <v>119.03999999999999</v>
      </c>
      <c r="H104" s="5">
        <f>A104*B104*C104</f>
        <v>7.4399999999999995</v>
      </c>
    </row>
    <row r="105" spans="1:8" x14ac:dyDescent="0.35">
      <c r="A105" s="5">
        <v>1</v>
      </c>
      <c r="B105" s="5">
        <v>1.37</v>
      </c>
      <c r="C105" s="5">
        <v>3.1</v>
      </c>
      <c r="D105" s="5">
        <v>0.2</v>
      </c>
      <c r="E105" s="5">
        <f>A105*(2*C105*D105+1*B105*C105)</f>
        <v>5.487000000000001</v>
      </c>
      <c r="F105" s="5">
        <f>A105*B105*C105*D105</f>
        <v>0.84940000000000015</v>
      </c>
      <c r="G105" s="5">
        <f>F105*80</f>
        <v>67.952000000000012</v>
      </c>
      <c r="H105" s="5">
        <f t="shared" ref="H105:H106" si="2">A105*B105*C105</f>
        <v>4.2470000000000008</v>
      </c>
    </row>
    <row r="106" spans="1:8" x14ac:dyDescent="0.35">
      <c r="A106" s="5">
        <v>1</v>
      </c>
      <c r="B106" s="5">
        <v>1.85</v>
      </c>
      <c r="C106" s="5">
        <v>4.5</v>
      </c>
      <c r="D106" s="5">
        <v>0.2</v>
      </c>
      <c r="E106" s="5">
        <f>A106*(2*C106*D106+1*B106*C106)</f>
        <v>10.125000000000002</v>
      </c>
      <c r="F106" s="5">
        <f>A106*B106*C106*D106</f>
        <v>1.6650000000000003</v>
      </c>
      <c r="G106" s="5">
        <f>F106*80</f>
        <v>133.20000000000002</v>
      </c>
      <c r="H106" s="5">
        <f t="shared" si="2"/>
        <v>8.3250000000000011</v>
      </c>
    </row>
    <row r="107" spans="1:8" x14ac:dyDescent="0.35">
      <c r="A107" s="218" t="s">
        <v>42</v>
      </c>
      <c r="B107" s="219"/>
      <c r="C107" s="219"/>
      <c r="D107" s="220"/>
      <c r="E107" s="5">
        <f>SUM(E104:E106)</f>
        <v>24.012</v>
      </c>
      <c r="F107" s="5">
        <f t="shared" ref="F107:H107" si="3">SUM(F104:F106)</f>
        <v>4.0024000000000006</v>
      </c>
      <c r="G107" s="5">
        <f t="shared" si="3"/>
        <v>320.19200000000001</v>
      </c>
      <c r="H107" s="5">
        <f t="shared" si="3"/>
        <v>20.012</v>
      </c>
    </row>
    <row r="108" spans="1:8" x14ac:dyDescent="0.35">
      <c r="A108" s="9" t="s">
        <v>51</v>
      </c>
      <c r="B108" s="7"/>
    </row>
    <row r="109" spans="1:8" x14ac:dyDescent="0.35">
      <c r="A109" s="6" t="s">
        <v>49</v>
      </c>
      <c r="B109" s="6" t="s">
        <v>28</v>
      </c>
      <c r="C109" s="5" t="s">
        <v>50</v>
      </c>
    </row>
    <row r="110" spans="1:8" x14ac:dyDescent="0.35">
      <c r="A110" s="6">
        <f>H107</f>
        <v>20.012</v>
      </c>
      <c r="B110" s="6">
        <v>3</v>
      </c>
      <c r="C110" s="5">
        <f>B110*A110</f>
        <v>60.036000000000001</v>
      </c>
    </row>
    <row r="112" spans="1:8" x14ac:dyDescent="0.35">
      <c r="A112" s="27" t="s">
        <v>53</v>
      </c>
    </row>
    <row r="113" spans="1:3" x14ac:dyDescent="0.35">
      <c r="A113" s="5" t="s">
        <v>27</v>
      </c>
      <c r="B113" s="5" t="s">
        <v>20</v>
      </c>
      <c r="C113" s="5" t="s">
        <v>54</v>
      </c>
    </row>
    <row r="114" spans="1:3" x14ac:dyDescent="0.35">
      <c r="A114" s="5">
        <v>7.98</v>
      </c>
      <c r="B114" s="5">
        <v>1</v>
      </c>
      <c r="C114" s="5">
        <f>B114*A114</f>
        <v>7.98</v>
      </c>
    </row>
    <row r="115" spans="1:3" x14ac:dyDescent="0.35">
      <c r="A115" s="5">
        <v>2</v>
      </c>
      <c r="B115" s="5">
        <v>1</v>
      </c>
      <c r="C115" s="5">
        <f t="shared" ref="C115:C178" si="4">B115*A115</f>
        <v>2</v>
      </c>
    </row>
    <row r="116" spans="1:3" x14ac:dyDescent="0.35">
      <c r="A116" s="5">
        <v>5.6</v>
      </c>
      <c r="B116" s="5">
        <v>1</v>
      </c>
      <c r="C116" s="5">
        <f t="shared" si="4"/>
        <v>5.6</v>
      </c>
    </row>
    <row r="117" spans="1:3" x14ac:dyDescent="0.35">
      <c r="A117" s="5">
        <v>3.25</v>
      </c>
      <c r="B117" s="5">
        <v>1</v>
      </c>
      <c r="C117" s="5">
        <f t="shared" si="4"/>
        <v>3.25</v>
      </c>
    </row>
    <row r="118" spans="1:3" x14ac:dyDescent="0.35">
      <c r="A118" s="5">
        <v>4.91</v>
      </c>
      <c r="B118" s="5">
        <v>1</v>
      </c>
      <c r="C118" s="5">
        <f t="shared" si="4"/>
        <v>4.91</v>
      </c>
    </row>
    <row r="119" spans="1:3" x14ac:dyDescent="0.35">
      <c r="A119" s="5">
        <v>8.01</v>
      </c>
      <c r="B119" s="5">
        <v>1</v>
      </c>
      <c r="C119" s="5">
        <f t="shared" si="4"/>
        <v>8.01</v>
      </c>
    </row>
    <row r="120" spans="1:3" x14ac:dyDescent="0.35">
      <c r="A120" s="5">
        <v>2.9</v>
      </c>
      <c r="B120" s="5">
        <v>1</v>
      </c>
      <c r="C120" s="5">
        <f t="shared" si="4"/>
        <v>2.9</v>
      </c>
    </row>
    <row r="121" spans="1:3" x14ac:dyDescent="0.35">
      <c r="A121" s="5">
        <v>5.16</v>
      </c>
      <c r="B121" s="5">
        <v>1</v>
      </c>
      <c r="C121" s="5">
        <f t="shared" si="4"/>
        <v>5.16</v>
      </c>
    </row>
    <row r="122" spans="1:3" x14ac:dyDescent="0.35">
      <c r="A122" s="5">
        <v>2.85</v>
      </c>
      <c r="B122" s="5">
        <v>1</v>
      </c>
      <c r="C122" s="5">
        <f t="shared" si="4"/>
        <v>2.85</v>
      </c>
    </row>
    <row r="123" spans="1:3" x14ac:dyDescent="0.35">
      <c r="A123" s="5">
        <v>2</v>
      </c>
      <c r="B123" s="5">
        <v>1</v>
      </c>
      <c r="C123" s="5">
        <f t="shared" si="4"/>
        <v>2</v>
      </c>
    </row>
    <row r="124" spans="1:3" x14ac:dyDescent="0.35">
      <c r="A124" s="5">
        <v>2</v>
      </c>
      <c r="B124" s="5">
        <v>1</v>
      </c>
      <c r="C124" s="5">
        <f t="shared" si="4"/>
        <v>2</v>
      </c>
    </row>
    <row r="125" spans="1:3" x14ac:dyDescent="0.35">
      <c r="A125" s="5">
        <v>11.94</v>
      </c>
      <c r="B125" s="5">
        <v>1</v>
      </c>
      <c r="C125" s="5">
        <f t="shared" si="4"/>
        <v>11.94</v>
      </c>
    </row>
    <row r="126" spans="1:3" x14ac:dyDescent="0.35">
      <c r="A126" s="5">
        <v>2.91</v>
      </c>
      <c r="B126" s="5">
        <v>1</v>
      </c>
      <c r="C126" s="5">
        <f t="shared" si="4"/>
        <v>2.91</v>
      </c>
    </row>
    <row r="127" spans="1:3" x14ac:dyDescent="0.35">
      <c r="A127" s="5">
        <v>3.1</v>
      </c>
      <c r="B127" s="5">
        <v>1</v>
      </c>
      <c r="C127" s="5">
        <f t="shared" si="4"/>
        <v>3.1</v>
      </c>
    </row>
    <row r="128" spans="1:3" x14ac:dyDescent="0.35">
      <c r="A128" s="5">
        <v>3.9</v>
      </c>
      <c r="B128" s="5">
        <v>1</v>
      </c>
      <c r="C128" s="5">
        <f t="shared" si="4"/>
        <v>3.9</v>
      </c>
    </row>
    <row r="129" spans="1:3" x14ac:dyDescent="0.35">
      <c r="A129" s="5">
        <v>16.399999999999999</v>
      </c>
      <c r="B129" s="5">
        <v>1</v>
      </c>
      <c r="C129" s="5">
        <f t="shared" si="4"/>
        <v>16.399999999999999</v>
      </c>
    </row>
    <row r="130" spans="1:3" x14ac:dyDescent="0.35">
      <c r="A130" s="5">
        <v>15.64</v>
      </c>
      <c r="B130" s="5">
        <v>1</v>
      </c>
      <c r="C130" s="5">
        <f t="shared" si="4"/>
        <v>15.64</v>
      </c>
    </row>
    <row r="131" spans="1:3" x14ac:dyDescent="0.35">
      <c r="A131" s="5">
        <v>2.85</v>
      </c>
      <c r="B131" s="5">
        <v>1</v>
      </c>
      <c r="C131" s="5">
        <f t="shared" si="4"/>
        <v>2.85</v>
      </c>
    </row>
    <row r="132" spans="1:3" x14ac:dyDescent="0.35">
      <c r="A132" s="5">
        <v>3.87</v>
      </c>
      <c r="B132" s="5">
        <v>1</v>
      </c>
      <c r="C132" s="5">
        <f t="shared" si="4"/>
        <v>3.87</v>
      </c>
    </row>
    <row r="133" spans="1:3" x14ac:dyDescent="0.35">
      <c r="A133" s="5">
        <v>2.67</v>
      </c>
      <c r="B133" s="5">
        <v>1</v>
      </c>
      <c r="C133" s="5">
        <f t="shared" si="4"/>
        <v>2.67</v>
      </c>
    </row>
    <row r="134" spans="1:3" x14ac:dyDescent="0.35">
      <c r="A134" s="5">
        <v>3.82</v>
      </c>
      <c r="B134" s="5">
        <v>1</v>
      </c>
      <c r="C134" s="5">
        <f t="shared" si="4"/>
        <v>3.82</v>
      </c>
    </row>
    <row r="135" spans="1:3" x14ac:dyDescent="0.35">
      <c r="A135" s="5">
        <v>2.13</v>
      </c>
      <c r="B135" s="5">
        <v>1</v>
      </c>
      <c r="C135" s="5">
        <f t="shared" si="4"/>
        <v>2.13</v>
      </c>
    </row>
    <row r="136" spans="1:3" x14ac:dyDescent="0.35">
      <c r="A136" s="5">
        <v>5.43</v>
      </c>
      <c r="B136" s="5">
        <v>1</v>
      </c>
      <c r="C136" s="5">
        <f t="shared" si="4"/>
        <v>5.43</v>
      </c>
    </row>
    <row r="137" spans="1:3" x14ac:dyDescent="0.35">
      <c r="A137" s="5">
        <v>12.83</v>
      </c>
      <c r="B137" s="5">
        <v>1</v>
      </c>
      <c r="C137" s="5">
        <f t="shared" si="4"/>
        <v>12.83</v>
      </c>
    </row>
    <row r="138" spans="1:3" x14ac:dyDescent="0.35">
      <c r="A138" s="5">
        <v>3.26</v>
      </c>
      <c r="B138" s="5">
        <v>3</v>
      </c>
      <c r="C138" s="5">
        <f t="shared" si="4"/>
        <v>9.7799999999999994</v>
      </c>
    </row>
    <row r="139" spans="1:3" x14ac:dyDescent="0.35">
      <c r="A139" s="5">
        <v>10.45</v>
      </c>
      <c r="B139" s="5">
        <v>1</v>
      </c>
      <c r="C139" s="5">
        <f t="shared" si="4"/>
        <v>10.45</v>
      </c>
    </row>
    <row r="140" spans="1:3" x14ac:dyDescent="0.35">
      <c r="A140" s="5">
        <v>6.1</v>
      </c>
      <c r="B140" s="5">
        <v>1</v>
      </c>
      <c r="C140" s="5">
        <f t="shared" si="4"/>
        <v>6.1</v>
      </c>
    </row>
    <row r="141" spans="1:3" x14ac:dyDescent="0.35">
      <c r="A141" s="5">
        <v>6.65</v>
      </c>
      <c r="B141" s="5">
        <v>1</v>
      </c>
      <c r="C141" s="5">
        <f t="shared" si="4"/>
        <v>6.65</v>
      </c>
    </row>
    <row r="142" spans="1:3" x14ac:dyDescent="0.35">
      <c r="A142" s="5">
        <v>1.8</v>
      </c>
      <c r="B142" s="5">
        <v>1</v>
      </c>
      <c r="C142" s="5">
        <f t="shared" si="4"/>
        <v>1.8</v>
      </c>
    </row>
    <row r="143" spans="1:3" x14ac:dyDescent="0.35">
      <c r="A143" s="5">
        <v>3.5</v>
      </c>
      <c r="B143" s="5">
        <v>1</v>
      </c>
      <c r="C143" s="5">
        <f t="shared" si="4"/>
        <v>3.5</v>
      </c>
    </row>
    <row r="144" spans="1:3" x14ac:dyDescent="0.35">
      <c r="A144" s="5">
        <v>4.6500000000000004</v>
      </c>
      <c r="B144" s="5">
        <v>1</v>
      </c>
      <c r="C144" s="5">
        <f t="shared" si="4"/>
        <v>4.6500000000000004</v>
      </c>
    </row>
    <row r="145" spans="1:4" x14ac:dyDescent="0.35">
      <c r="A145" s="5">
        <v>9.26</v>
      </c>
      <c r="B145" s="5">
        <v>1</v>
      </c>
      <c r="C145" s="5">
        <f t="shared" si="4"/>
        <v>9.26</v>
      </c>
    </row>
    <row r="146" spans="1:4" x14ac:dyDescent="0.35">
      <c r="A146" s="5">
        <v>1.35</v>
      </c>
      <c r="B146" s="5">
        <v>1</v>
      </c>
      <c r="C146" s="5">
        <f t="shared" si="4"/>
        <v>1.35</v>
      </c>
    </row>
    <row r="147" spans="1:4" x14ac:dyDescent="0.35">
      <c r="A147" s="5">
        <v>5.51</v>
      </c>
      <c r="B147" s="5">
        <v>2</v>
      </c>
      <c r="C147" s="5">
        <f t="shared" si="4"/>
        <v>11.02</v>
      </c>
    </row>
    <row r="148" spans="1:4" x14ac:dyDescent="0.35">
      <c r="A148" s="5">
        <v>3.26</v>
      </c>
      <c r="B148" s="5">
        <v>1</v>
      </c>
      <c r="C148" s="5">
        <f t="shared" si="4"/>
        <v>3.26</v>
      </c>
    </row>
    <row r="149" spans="1:4" x14ac:dyDescent="0.35">
      <c r="A149" s="5">
        <v>2.25</v>
      </c>
      <c r="B149" s="5">
        <v>2</v>
      </c>
      <c r="C149" s="5">
        <f t="shared" si="4"/>
        <v>4.5</v>
      </c>
    </row>
    <row r="150" spans="1:4" x14ac:dyDescent="0.35">
      <c r="A150" s="5">
        <v>3.35</v>
      </c>
      <c r="B150" s="5">
        <v>1</v>
      </c>
      <c r="C150" s="5">
        <f t="shared" si="4"/>
        <v>3.35</v>
      </c>
    </row>
    <row r="151" spans="1:4" x14ac:dyDescent="0.35">
      <c r="A151" s="5">
        <v>9.82</v>
      </c>
      <c r="B151" s="5">
        <v>1</v>
      </c>
      <c r="C151" s="5">
        <f t="shared" si="4"/>
        <v>9.82</v>
      </c>
    </row>
    <row r="152" spans="1:4" x14ac:dyDescent="0.35">
      <c r="A152" s="5">
        <v>4.78</v>
      </c>
      <c r="B152" s="5">
        <v>1</v>
      </c>
      <c r="C152" s="5">
        <f t="shared" si="4"/>
        <v>4.78</v>
      </c>
    </row>
    <row r="153" spans="1:4" x14ac:dyDescent="0.35">
      <c r="A153" s="5">
        <v>2.19</v>
      </c>
      <c r="B153" s="5">
        <v>1</v>
      </c>
      <c r="C153" s="5">
        <f t="shared" si="4"/>
        <v>2.19</v>
      </c>
    </row>
    <row r="154" spans="1:4" x14ac:dyDescent="0.35">
      <c r="A154" s="5">
        <v>1.92</v>
      </c>
      <c r="B154" s="5">
        <v>1</v>
      </c>
      <c r="C154" s="5">
        <f t="shared" si="4"/>
        <v>1.92</v>
      </c>
    </row>
    <row r="155" spans="1:4" x14ac:dyDescent="0.35">
      <c r="A155" s="5">
        <v>2.14</v>
      </c>
      <c r="B155" s="5">
        <v>1</v>
      </c>
      <c r="C155" s="5">
        <f t="shared" si="4"/>
        <v>2.14</v>
      </c>
    </row>
    <row r="156" spans="1:4" x14ac:dyDescent="0.35">
      <c r="A156" s="5">
        <v>3.55</v>
      </c>
      <c r="B156" s="5">
        <v>1</v>
      </c>
      <c r="C156" s="5">
        <f t="shared" si="4"/>
        <v>3.55</v>
      </c>
    </row>
    <row r="157" spans="1:4" x14ac:dyDescent="0.35">
      <c r="A157" s="5">
        <v>1.7</v>
      </c>
      <c r="B157" s="5">
        <v>1</v>
      </c>
      <c r="C157" s="5">
        <f t="shared" si="4"/>
        <v>1.7</v>
      </c>
    </row>
    <row r="158" spans="1:4" x14ac:dyDescent="0.35">
      <c r="A158" s="5">
        <v>10.26</v>
      </c>
      <c r="B158" s="5">
        <v>1</v>
      </c>
      <c r="C158" s="5">
        <f t="shared" si="4"/>
        <v>10.26</v>
      </c>
    </row>
    <row r="159" spans="1:4" x14ac:dyDescent="0.35">
      <c r="A159" s="217" t="s">
        <v>37</v>
      </c>
      <c r="B159" s="217"/>
      <c r="C159" s="5">
        <f>SUM(C114:C158)</f>
        <v>246.17999999999995</v>
      </c>
    </row>
    <row r="160" spans="1:4" x14ac:dyDescent="0.35">
      <c r="A160" s="5">
        <v>1.6</v>
      </c>
      <c r="B160" s="5">
        <v>1</v>
      </c>
      <c r="C160" s="5">
        <f t="shared" si="4"/>
        <v>1.6</v>
      </c>
      <c r="D160" s="4" t="s">
        <v>82</v>
      </c>
    </row>
    <row r="161" spans="1:4" x14ac:dyDescent="0.35">
      <c r="A161" s="10">
        <v>3.87</v>
      </c>
      <c r="B161" s="10">
        <v>1</v>
      </c>
      <c r="C161" s="10">
        <f t="shared" si="4"/>
        <v>3.87</v>
      </c>
      <c r="D161" s="11">
        <v>2.1</v>
      </c>
    </row>
    <row r="162" spans="1:4" x14ac:dyDescent="0.35">
      <c r="A162" s="10">
        <v>4.3099999999999996</v>
      </c>
      <c r="B162" s="10">
        <v>1</v>
      </c>
      <c r="C162" s="10">
        <f t="shared" si="4"/>
        <v>4.3099999999999996</v>
      </c>
      <c r="D162" s="11">
        <v>2.1</v>
      </c>
    </row>
    <row r="163" spans="1:4" x14ac:dyDescent="0.35">
      <c r="A163" s="10">
        <v>3.75</v>
      </c>
      <c r="B163" s="10">
        <v>1</v>
      </c>
      <c r="C163" s="10">
        <f t="shared" si="4"/>
        <v>3.75</v>
      </c>
      <c r="D163" s="11">
        <v>2.1</v>
      </c>
    </row>
    <row r="164" spans="1:4" x14ac:dyDescent="0.35">
      <c r="A164" s="10">
        <v>1.22</v>
      </c>
      <c r="B164" s="10">
        <v>1</v>
      </c>
      <c r="C164" s="10">
        <f t="shared" si="4"/>
        <v>1.22</v>
      </c>
      <c r="D164" s="11">
        <v>2.1</v>
      </c>
    </row>
    <row r="165" spans="1:4" x14ac:dyDescent="0.35">
      <c r="A165" s="10">
        <v>5.52</v>
      </c>
      <c r="B165" s="10">
        <v>1</v>
      </c>
      <c r="C165" s="10">
        <f t="shared" si="4"/>
        <v>5.52</v>
      </c>
      <c r="D165" s="11">
        <v>2.1</v>
      </c>
    </row>
    <row r="166" spans="1:4" x14ac:dyDescent="0.35">
      <c r="A166" s="5">
        <v>5.31</v>
      </c>
      <c r="B166" s="5">
        <v>1</v>
      </c>
      <c r="C166" s="5">
        <f t="shared" si="4"/>
        <v>5.31</v>
      </c>
    </row>
    <row r="167" spans="1:4" x14ac:dyDescent="0.35">
      <c r="A167" s="5">
        <v>1.5</v>
      </c>
      <c r="B167" s="5">
        <v>1</v>
      </c>
      <c r="C167" s="5">
        <f t="shared" si="4"/>
        <v>1.5</v>
      </c>
    </row>
    <row r="168" spans="1:4" x14ac:dyDescent="0.35">
      <c r="A168" s="5">
        <v>5.41</v>
      </c>
      <c r="B168" s="5">
        <v>1</v>
      </c>
      <c r="C168" s="5">
        <f t="shared" si="4"/>
        <v>5.41</v>
      </c>
    </row>
    <row r="169" spans="1:4" x14ac:dyDescent="0.35">
      <c r="A169" s="10">
        <v>3.85</v>
      </c>
      <c r="B169" s="10">
        <v>1</v>
      </c>
      <c r="C169" s="10">
        <f t="shared" si="4"/>
        <v>3.85</v>
      </c>
      <c r="D169" s="11">
        <v>2.1</v>
      </c>
    </row>
    <row r="170" spans="1:4" x14ac:dyDescent="0.35">
      <c r="A170" s="10">
        <v>4.6500000000000004</v>
      </c>
      <c r="B170" s="10">
        <v>1</v>
      </c>
      <c r="C170" s="10">
        <f t="shared" si="4"/>
        <v>4.6500000000000004</v>
      </c>
      <c r="D170" s="11">
        <v>2.1</v>
      </c>
    </row>
    <row r="171" spans="1:4" x14ac:dyDescent="0.35">
      <c r="A171" s="10">
        <v>2.5</v>
      </c>
      <c r="B171" s="10">
        <v>1</v>
      </c>
      <c r="C171" s="10">
        <f t="shared" si="4"/>
        <v>2.5</v>
      </c>
      <c r="D171" s="11">
        <v>2.1</v>
      </c>
    </row>
    <row r="172" spans="1:4" x14ac:dyDescent="0.35">
      <c r="A172" s="5">
        <v>14.4</v>
      </c>
      <c r="B172" s="5">
        <v>1</v>
      </c>
      <c r="C172" s="5">
        <f t="shared" si="4"/>
        <v>14.4</v>
      </c>
    </row>
    <row r="173" spans="1:4" x14ac:dyDescent="0.35">
      <c r="A173" s="5">
        <v>1.26</v>
      </c>
      <c r="B173" s="5">
        <v>1</v>
      </c>
      <c r="C173" s="5">
        <f t="shared" si="4"/>
        <v>1.26</v>
      </c>
    </row>
    <row r="174" spans="1:4" x14ac:dyDescent="0.35">
      <c r="A174" s="5">
        <v>13.04</v>
      </c>
      <c r="B174" s="5">
        <v>1</v>
      </c>
      <c r="C174" s="5">
        <f t="shared" si="4"/>
        <v>13.04</v>
      </c>
    </row>
    <row r="175" spans="1:4" x14ac:dyDescent="0.35">
      <c r="A175" s="5">
        <v>5.7</v>
      </c>
      <c r="B175" s="5">
        <v>1</v>
      </c>
      <c r="C175" s="5">
        <f t="shared" si="4"/>
        <v>5.7</v>
      </c>
    </row>
    <row r="176" spans="1:4" x14ac:dyDescent="0.35">
      <c r="A176" s="5">
        <v>12.54</v>
      </c>
      <c r="B176" s="5">
        <v>1</v>
      </c>
      <c r="C176" s="5">
        <f t="shared" si="4"/>
        <v>12.54</v>
      </c>
    </row>
    <row r="177" spans="1:3" x14ac:dyDescent="0.35">
      <c r="A177" s="5">
        <v>1.85</v>
      </c>
      <c r="B177" s="5">
        <v>1</v>
      </c>
      <c r="C177" s="5">
        <f t="shared" si="4"/>
        <v>1.85</v>
      </c>
    </row>
    <row r="178" spans="1:3" x14ac:dyDescent="0.35">
      <c r="A178" s="5">
        <v>2.75</v>
      </c>
      <c r="B178" s="5">
        <v>1</v>
      </c>
      <c r="C178" s="5">
        <f t="shared" si="4"/>
        <v>2.75</v>
      </c>
    </row>
    <row r="179" spans="1:3" x14ac:dyDescent="0.35">
      <c r="A179" s="5">
        <v>2.2400000000000002</v>
      </c>
      <c r="B179" s="5">
        <v>1</v>
      </c>
      <c r="C179" s="5">
        <f t="shared" ref="C179:C180" si="5">B179*A179</f>
        <v>2.2400000000000002</v>
      </c>
    </row>
    <row r="180" spans="1:3" x14ac:dyDescent="0.35">
      <c r="A180" s="5">
        <v>5.12</v>
      </c>
      <c r="B180" s="5">
        <v>1</v>
      </c>
      <c r="C180" s="5">
        <f t="shared" si="5"/>
        <v>5.12</v>
      </c>
    </row>
    <row r="181" spans="1:3" x14ac:dyDescent="0.35">
      <c r="A181" s="217" t="s">
        <v>37</v>
      </c>
      <c r="B181" s="217"/>
      <c r="C181" s="5">
        <f>SUM(C160:C180)</f>
        <v>102.39</v>
      </c>
    </row>
    <row r="183" spans="1:3" x14ac:dyDescent="0.35">
      <c r="A183" s="4" t="s">
        <v>55</v>
      </c>
    </row>
    <row r="184" spans="1:3" x14ac:dyDescent="0.35">
      <c r="A184" s="5" t="s">
        <v>27</v>
      </c>
      <c r="B184" s="5" t="s">
        <v>28</v>
      </c>
      <c r="C184" s="5" t="s">
        <v>45</v>
      </c>
    </row>
    <row r="185" spans="1:3" x14ac:dyDescent="0.35">
      <c r="A185" s="5">
        <f>C159</f>
        <v>246.17999999999995</v>
      </c>
      <c r="B185" s="5">
        <v>2.8</v>
      </c>
      <c r="C185" s="5">
        <f>B185*A185</f>
        <v>689.30399999999986</v>
      </c>
    </row>
    <row r="186" spans="1:3" x14ac:dyDescent="0.35">
      <c r="A186" s="5">
        <f>C181-A187</f>
        <v>68.069999999999993</v>
      </c>
      <c r="B186" s="5">
        <v>1.6</v>
      </c>
      <c r="C186" s="5">
        <f>B186*A186</f>
        <v>108.91199999999999</v>
      </c>
    </row>
    <row r="187" spans="1:3" x14ac:dyDescent="0.35">
      <c r="A187" s="5">
        <f>C161+C163+C164+C162+C165+C169+C170+C170+C171</f>
        <v>34.32</v>
      </c>
      <c r="B187" s="5">
        <v>2.1</v>
      </c>
      <c r="C187" s="5">
        <f>B187*A187</f>
        <v>72.072000000000003</v>
      </c>
    </row>
    <row r="188" spans="1:3" x14ac:dyDescent="0.35">
      <c r="A188" s="217" t="s">
        <v>37</v>
      </c>
      <c r="B188" s="217"/>
      <c r="C188" s="5">
        <f>C186+C185+C187</f>
        <v>870.2879999999999</v>
      </c>
    </row>
    <row r="192" spans="1:3" s="1" customFormat="1" x14ac:dyDescent="0.35">
      <c r="A192" s="2" t="s">
        <v>73</v>
      </c>
    </row>
    <row r="193" spans="1:7" ht="29" x14ac:dyDescent="0.35">
      <c r="A193" s="5" t="s">
        <v>72</v>
      </c>
      <c r="B193" s="5" t="s">
        <v>58</v>
      </c>
      <c r="C193" s="5"/>
      <c r="D193" s="5"/>
      <c r="E193" s="5" t="s">
        <v>36</v>
      </c>
      <c r="F193" s="5" t="s">
        <v>28</v>
      </c>
      <c r="G193" s="5" t="s">
        <v>49</v>
      </c>
    </row>
    <row r="194" spans="1:7" ht="29" x14ac:dyDescent="0.35">
      <c r="A194" s="5" t="s">
        <v>57</v>
      </c>
      <c r="B194" s="5" t="s">
        <v>59</v>
      </c>
      <c r="C194" s="5">
        <v>1.85</v>
      </c>
      <c r="D194" s="5">
        <v>1.6</v>
      </c>
      <c r="E194" s="5">
        <f>C194*2+D194*2</f>
        <v>6.9</v>
      </c>
      <c r="F194" s="5">
        <v>2.8</v>
      </c>
      <c r="G194" s="5">
        <f>F194*E194</f>
        <v>19.32</v>
      </c>
    </row>
    <row r="195" spans="1:7" ht="29" x14ac:dyDescent="0.35">
      <c r="A195" s="5" t="s">
        <v>60</v>
      </c>
      <c r="B195" s="5" t="s">
        <v>61</v>
      </c>
      <c r="C195" s="5">
        <v>1.85</v>
      </c>
      <c r="D195" s="5">
        <v>1.2</v>
      </c>
      <c r="E195" s="5">
        <f>C195*2+D195*2</f>
        <v>6.1</v>
      </c>
      <c r="F195" s="5">
        <v>1.8</v>
      </c>
      <c r="G195" s="5">
        <f t="shared" ref="G195:G213" si="6">F195*E195</f>
        <v>10.98</v>
      </c>
    </row>
    <row r="196" spans="1:7" x14ac:dyDescent="0.35">
      <c r="A196" s="5" t="s">
        <v>62</v>
      </c>
      <c r="B196" s="5" t="s">
        <v>1</v>
      </c>
      <c r="C196" s="5">
        <v>2.25</v>
      </c>
      <c r="D196" s="5">
        <v>3.1</v>
      </c>
      <c r="E196" s="5">
        <f>C196+D196</f>
        <v>5.35</v>
      </c>
      <c r="F196" s="5">
        <v>2.8</v>
      </c>
      <c r="G196" s="5">
        <f t="shared" si="6"/>
        <v>14.979999999999999</v>
      </c>
    </row>
    <row r="197" spans="1:7" x14ac:dyDescent="0.35">
      <c r="A197" s="5"/>
      <c r="B197" s="5"/>
      <c r="C197" s="5">
        <v>4.32</v>
      </c>
      <c r="D197" s="5">
        <v>2.95</v>
      </c>
      <c r="E197" s="5">
        <f t="shared" ref="E197:E198" si="7">C197+D197</f>
        <v>7.2700000000000005</v>
      </c>
      <c r="F197" s="5">
        <v>2.8</v>
      </c>
      <c r="G197" s="5">
        <f t="shared" si="6"/>
        <v>20.356000000000002</v>
      </c>
    </row>
    <row r="198" spans="1:7" x14ac:dyDescent="0.35">
      <c r="A198" s="5"/>
      <c r="B198" s="5"/>
      <c r="C198" s="5">
        <v>0.74</v>
      </c>
      <c r="D198" s="5">
        <v>1.22</v>
      </c>
      <c r="E198" s="5">
        <f t="shared" si="7"/>
        <v>1.96</v>
      </c>
      <c r="F198" s="5">
        <v>2.8</v>
      </c>
      <c r="G198" s="5">
        <f t="shared" si="6"/>
        <v>5.4879999999999995</v>
      </c>
    </row>
    <row r="199" spans="1:7" x14ac:dyDescent="0.35">
      <c r="A199" s="5" t="s">
        <v>63</v>
      </c>
      <c r="B199" s="5" t="s">
        <v>64</v>
      </c>
      <c r="C199" s="5">
        <v>2.95</v>
      </c>
      <c r="D199" s="5">
        <v>4.58</v>
      </c>
      <c r="E199" s="5">
        <f>C199*2+D199*2</f>
        <v>15.06</v>
      </c>
      <c r="F199" s="5">
        <v>1.8</v>
      </c>
      <c r="G199" s="5">
        <f t="shared" si="6"/>
        <v>27.108000000000001</v>
      </c>
    </row>
    <row r="200" spans="1:7" x14ac:dyDescent="0.35">
      <c r="A200" s="5" t="s">
        <v>65</v>
      </c>
      <c r="B200" s="5" t="s">
        <v>64</v>
      </c>
      <c r="C200" s="5">
        <v>1.7</v>
      </c>
      <c r="D200" s="5">
        <v>2.1</v>
      </c>
      <c r="E200" s="5">
        <f>C200*2+D200*2</f>
        <v>7.6</v>
      </c>
      <c r="F200" s="5">
        <v>1.8</v>
      </c>
      <c r="G200" s="5">
        <f t="shared" si="6"/>
        <v>13.68</v>
      </c>
    </row>
    <row r="201" spans="1:7" x14ac:dyDescent="0.35">
      <c r="A201" s="5" t="s">
        <v>65</v>
      </c>
      <c r="B201" s="5" t="s">
        <v>64</v>
      </c>
      <c r="C201" s="5">
        <v>1.7</v>
      </c>
      <c r="D201" s="5">
        <v>2.1</v>
      </c>
      <c r="E201" s="5">
        <f>C201*2+D201*2</f>
        <v>7.6</v>
      </c>
      <c r="F201" s="5">
        <v>1.8</v>
      </c>
      <c r="G201" s="5">
        <f t="shared" si="6"/>
        <v>13.68</v>
      </c>
    </row>
    <row r="202" spans="1:7" x14ac:dyDescent="0.35">
      <c r="A202" s="5" t="s">
        <v>60</v>
      </c>
      <c r="B202" s="5" t="s">
        <v>64</v>
      </c>
      <c r="C202" s="5">
        <f>1.1+1.7</f>
        <v>2.8</v>
      </c>
      <c r="D202" s="5">
        <v>1.51</v>
      </c>
      <c r="E202" s="5">
        <f>C202*2+D202*2</f>
        <v>8.6199999999999992</v>
      </c>
      <c r="F202" s="5">
        <v>1.8</v>
      </c>
      <c r="G202" s="5">
        <f t="shared" si="6"/>
        <v>15.515999999999998</v>
      </c>
    </row>
    <row r="203" spans="1:7" x14ac:dyDescent="0.35">
      <c r="A203" s="5" t="s">
        <v>66</v>
      </c>
      <c r="B203" s="5" t="s">
        <v>64</v>
      </c>
      <c r="C203" s="5">
        <v>2.8</v>
      </c>
      <c r="D203" s="5">
        <v>2.95</v>
      </c>
      <c r="E203" s="5">
        <f>D203+C203</f>
        <v>5.75</v>
      </c>
      <c r="F203" s="5">
        <v>1.8</v>
      </c>
      <c r="G203" s="5">
        <f t="shared" si="6"/>
        <v>10.35</v>
      </c>
    </row>
    <row r="204" spans="1:7" x14ac:dyDescent="0.35">
      <c r="A204" s="5"/>
      <c r="B204" s="5"/>
      <c r="C204" s="5">
        <v>1.36</v>
      </c>
      <c r="D204" s="5">
        <v>1.5</v>
      </c>
      <c r="E204" s="5">
        <f t="shared" ref="E204:E205" si="8">D204+C204</f>
        <v>2.8600000000000003</v>
      </c>
      <c r="F204" s="5">
        <v>1.8</v>
      </c>
      <c r="G204" s="5">
        <f t="shared" si="6"/>
        <v>5.1480000000000006</v>
      </c>
    </row>
    <row r="205" spans="1:7" x14ac:dyDescent="0.35">
      <c r="A205" s="5"/>
      <c r="B205" s="5"/>
      <c r="C205" s="5">
        <f>2.8+1.36</f>
        <v>4.16</v>
      </c>
      <c r="D205" s="5">
        <v>4.45</v>
      </c>
      <c r="E205" s="5">
        <f t="shared" si="8"/>
        <v>8.61</v>
      </c>
      <c r="F205" s="5">
        <v>1.8</v>
      </c>
      <c r="G205" s="5">
        <f t="shared" si="6"/>
        <v>15.497999999999999</v>
      </c>
    </row>
    <row r="206" spans="1:7" x14ac:dyDescent="0.35">
      <c r="A206" s="5" t="s">
        <v>67</v>
      </c>
      <c r="B206" s="5" t="s">
        <v>68</v>
      </c>
      <c r="C206" s="5">
        <v>2.8</v>
      </c>
      <c r="D206" s="5">
        <v>2.15</v>
      </c>
      <c r="E206" s="5">
        <f>D206+C206</f>
        <v>4.9499999999999993</v>
      </c>
      <c r="F206" s="5">
        <v>1.8</v>
      </c>
      <c r="G206" s="5">
        <f t="shared" si="6"/>
        <v>8.9099999999999984</v>
      </c>
    </row>
    <row r="207" spans="1:7" x14ac:dyDescent="0.35">
      <c r="A207" s="5" t="s">
        <v>62</v>
      </c>
      <c r="B207" s="5" t="s">
        <v>64</v>
      </c>
      <c r="C207" s="5">
        <v>2.1</v>
      </c>
      <c r="D207" s="5">
        <v>1.75</v>
      </c>
      <c r="E207" s="5">
        <f t="shared" ref="E207:E213" si="9">C207*2+D207*2</f>
        <v>7.7</v>
      </c>
      <c r="F207" s="5">
        <v>1.8</v>
      </c>
      <c r="G207" s="5">
        <f t="shared" si="6"/>
        <v>13.860000000000001</v>
      </c>
    </row>
    <row r="208" spans="1:7" x14ac:dyDescent="0.35">
      <c r="A208" s="5" t="s">
        <v>62</v>
      </c>
      <c r="B208" s="5" t="s">
        <v>64</v>
      </c>
      <c r="C208" s="5">
        <v>2.1</v>
      </c>
      <c r="D208" s="5">
        <v>1.7</v>
      </c>
      <c r="E208" s="5">
        <f t="shared" si="9"/>
        <v>7.6</v>
      </c>
      <c r="F208" s="5">
        <v>1.8</v>
      </c>
      <c r="G208" s="5">
        <f t="shared" si="6"/>
        <v>13.68</v>
      </c>
    </row>
    <row r="209" spans="1:7" x14ac:dyDescent="0.35">
      <c r="A209" s="5" t="s">
        <v>69</v>
      </c>
      <c r="B209" s="5" t="s">
        <v>64</v>
      </c>
      <c r="C209" s="5">
        <v>1.86</v>
      </c>
      <c r="D209" s="5">
        <v>1.7</v>
      </c>
      <c r="E209" s="5">
        <f t="shared" si="9"/>
        <v>7.12</v>
      </c>
      <c r="F209" s="5">
        <v>1.8</v>
      </c>
      <c r="G209" s="5">
        <f t="shared" si="6"/>
        <v>12.816000000000001</v>
      </c>
    </row>
    <row r="210" spans="1:7" x14ac:dyDescent="0.35">
      <c r="A210" s="5" t="s">
        <v>70</v>
      </c>
      <c r="B210" s="5" t="s">
        <v>64</v>
      </c>
      <c r="C210" s="5">
        <v>3.09</v>
      </c>
      <c r="D210" s="5">
        <v>1.7</v>
      </c>
      <c r="E210" s="5">
        <f t="shared" si="9"/>
        <v>9.58</v>
      </c>
      <c r="F210" s="5">
        <v>1.8</v>
      </c>
      <c r="G210" s="5">
        <f t="shared" si="6"/>
        <v>17.244</v>
      </c>
    </row>
    <row r="211" spans="1:7" x14ac:dyDescent="0.35">
      <c r="A211" s="5" t="s">
        <v>69</v>
      </c>
      <c r="B211" s="5" t="s">
        <v>64</v>
      </c>
      <c r="C211" s="5">
        <v>1.7</v>
      </c>
      <c r="D211" s="5">
        <v>1.88</v>
      </c>
      <c r="E211" s="5">
        <f t="shared" si="9"/>
        <v>7.16</v>
      </c>
      <c r="F211" s="5">
        <v>1.8</v>
      </c>
      <c r="G211" s="5">
        <f t="shared" si="6"/>
        <v>12.888</v>
      </c>
    </row>
    <row r="212" spans="1:7" x14ac:dyDescent="0.35">
      <c r="A212" s="5" t="s">
        <v>69</v>
      </c>
      <c r="B212" s="5" t="s">
        <v>64</v>
      </c>
      <c r="C212" s="5">
        <v>1.7</v>
      </c>
      <c r="D212" s="5">
        <v>1.88</v>
      </c>
      <c r="E212" s="5">
        <f t="shared" si="9"/>
        <v>7.16</v>
      </c>
      <c r="F212" s="5">
        <v>1.8</v>
      </c>
      <c r="G212" s="5">
        <f t="shared" si="6"/>
        <v>12.888</v>
      </c>
    </row>
    <row r="213" spans="1:7" ht="29" x14ac:dyDescent="0.35">
      <c r="A213" s="5" t="s">
        <v>71</v>
      </c>
      <c r="B213" s="5" t="s">
        <v>64</v>
      </c>
      <c r="C213" s="5">
        <v>3.6</v>
      </c>
      <c r="D213" s="5">
        <v>4.7</v>
      </c>
      <c r="E213" s="5">
        <f t="shared" si="9"/>
        <v>16.600000000000001</v>
      </c>
      <c r="F213" s="5">
        <v>1.8</v>
      </c>
      <c r="G213" s="5">
        <f t="shared" si="6"/>
        <v>29.880000000000003</v>
      </c>
    </row>
    <row r="214" spans="1:7" x14ac:dyDescent="0.35">
      <c r="A214" s="218" t="s">
        <v>37</v>
      </c>
      <c r="B214" s="219"/>
      <c r="C214" s="219"/>
      <c r="D214" s="219"/>
      <c r="E214" s="219"/>
      <c r="F214" s="220"/>
      <c r="G214" s="5">
        <f>SUM(G194:G213)</f>
        <v>294.27</v>
      </c>
    </row>
    <row r="216" spans="1:7" x14ac:dyDescent="0.35">
      <c r="A216" s="1" t="s">
        <v>74</v>
      </c>
      <c r="B216" s="4">
        <f>C188*2</f>
        <v>1740.5759999999998</v>
      </c>
      <c r="C216" s="4" t="s">
        <v>16</v>
      </c>
    </row>
    <row r="217" spans="1:7" x14ac:dyDescent="0.35">
      <c r="A217" s="1" t="s">
        <v>56</v>
      </c>
      <c r="B217" s="4">
        <f>G214</f>
        <v>294.27</v>
      </c>
      <c r="C217" s="4" t="s">
        <v>16</v>
      </c>
    </row>
    <row r="218" spans="1:7" x14ac:dyDescent="0.35">
      <c r="A218" s="1" t="s">
        <v>75</v>
      </c>
      <c r="B218" s="4">
        <f>B216-B217-C186-C187</f>
        <v>1265.3219999999997</v>
      </c>
      <c r="C218" s="4" t="s">
        <v>16</v>
      </c>
    </row>
    <row r="219" spans="1:7" s="1" customFormat="1" ht="29" x14ac:dyDescent="0.35">
      <c r="A219" s="4" t="s">
        <v>76</v>
      </c>
      <c r="B219" s="1">
        <f>B216/2-B217</f>
        <v>576.01799999999992</v>
      </c>
      <c r="C219" s="1" t="s">
        <v>16</v>
      </c>
    </row>
    <row r="220" spans="1:7" s="1" customFormat="1" ht="43.5" x14ac:dyDescent="0.35">
      <c r="A220" s="4" t="s">
        <v>77</v>
      </c>
      <c r="B220" s="1">
        <f>B218-B219</f>
        <v>689.30399999999975</v>
      </c>
      <c r="C220" s="1" t="s">
        <v>16</v>
      </c>
    </row>
    <row r="221" spans="1:7" s="1" customFormat="1" x14ac:dyDescent="0.35"/>
    <row r="222" spans="1:7" s="1" customFormat="1" x14ac:dyDescent="0.35">
      <c r="A222" s="1" t="s">
        <v>78</v>
      </c>
      <c r="B222" s="1">
        <f>F71+F72+H107</f>
        <v>380.28370000000001</v>
      </c>
      <c r="C222" s="1" t="s">
        <v>16</v>
      </c>
    </row>
    <row r="223" spans="1:7" s="1" customFormat="1" x14ac:dyDescent="0.35"/>
    <row r="224" spans="1:7" s="1" customFormat="1" x14ac:dyDescent="0.35">
      <c r="A224" s="2" t="s">
        <v>79</v>
      </c>
    </row>
    <row r="225" spans="1:5" s="1" customFormat="1" x14ac:dyDescent="0.35">
      <c r="A225" s="1" t="s">
        <v>80</v>
      </c>
      <c r="D225" s="1" t="s">
        <v>84</v>
      </c>
    </row>
    <row r="226" spans="1:5" s="1" customFormat="1" x14ac:dyDescent="0.35">
      <c r="A226" s="12" t="s">
        <v>27</v>
      </c>
      <c r="B226" s="12" t="s">
        <v>83</v>
      </c>
      <c r="C226" s="12" t="s">
        <v>45</v>
      </c>
      <c r="D226" s="12" t="s">
        <v>88</v>
      </c>
      <c r="E226" s="12"/>
    </row>
    <row r="227" spans="1:5" s="1" customFormat="1" x14ac:dyDescent="0.35">
      <c r="A227" s="12">
        <v>3.78</v>
      </c>
      <c r="B227" s="12">
        <v>5.52</v>
      </c>
      <c r="C227" s="12">
        <f>B227*A227</f>
        <v>20.865599999999997</v>
      </c>
      <c r="D227" s="12">
        <f>1.025*A227</f>
        <v>3.8744999999999994</v>
      </c>
      <c r="E227" s="12">
        <f>D227*B227</f>
        <v>21.387239999999995</v>
      </c>
    </row>
    <row r="228" spans="1:5" s="1" customFormat="1" x14ac:dyDescent="0.35">
      <c r="A228" s="12">
        <v>8.9</v>
      </c>
      <c r="B228" s="12">
        <v>10.25</v>
      </c>
      <c r="C228" s="12">
        <f t="shared" ref="C228:C234" si="10">B228*A228</f>
        <v>91.225000000000009</v>
      </c>
      <c r="D228" s="12">
        <f t="shared" ref="D228:D234" si="11">1.025*A228</f>
        <v>9.1224999999999987</v>
      </c>
      <c r="E228" s="12">
        <f t="shared" ref="E228:E234" si="12">D228*B228</f>
        <v>93.505624999999981</v>
      </c>
    </row>
    <row r="229" spans="1:5" x14ac:dyDescent="0.35">
      <c r="A229" s="5">
        <v>6</v>
      </c>
      <c r="B229" s="5">
        <v>2.0299999999999998</v>
      </c>
      <c r="C229" s="12">
        <f t="shared" si="10"/>
        <v>12.18</v>
      </c>
      <c r="D229" s="12">
        <f t="shared" si="11"/>
        <v>6.1499999999999995</v>
      </c>
      <c r="E229" s="12">
        <f t="shared" si="12"/>
        <v>12.484499999999997</v>
      </c>
    </row>
    <row r="230" spans="1:5" x14ac:dyDescent="0.35">
      <c r="A230" s="5">
        <v>4.25</v>
      </c>
      <c r="B230" s="5">
        <v>2.75</v>
      </c>
      <c r="C230" s="12">
        <f t="shared" si="10"/>
        <v>11.6875</v>
      </c>
      <c r="D230" s="12">
        <f t="shared" si="11"/>
        <v>4.3562499999999993</v>
      </c>
      <c r="E230" s="12">
        <f t="shared" si="12"/>
        <v>11.979687499999997</v>
      </c>
    </row>
    <row r="231" spans="1:5" x14ac:dyDescent="0.35">
      <c r="A231" s="5">
        <v>5.7</v>
      </c>
      <c r="B231" s="5">
        <v>12.54</v>
      </c>
      <c r="C231" s="12">
        <f t="shared" si="10"/>
        <v>71.477999999999994</v>
      </c>
      <c r="D231" s="12">
        <f t="shared" si="11"/>
        <v>5.8424999999999994</v>
      </c>
      <c r="E231" s="12">
        <f t="shared" si="12"/>
        <v>73.264949999999985</v>
      </c>
    </row>
    <row r="232" spans="1:5" x14ac:dyDescent="0.35">
      <c r="A232" s="5">
        <f>1.9+0.3</f>
        <v>2.1999999999999997</v>
      </c>
      <c r="B232" s="5">
        <v>4.3499999999999996</v>
      </c>
      <c r="C232" s="12">
        <f t="shared" si="10"/>
        <v>9.5699999999999985</v>
      </c>
      <c r="D232" s="12">
        <f t="shared" si="11"/>
        <v>2.2549999999999994</v>
      </c>
      <c r="E232" s="12">
        <f t="shared" si="12"/>
        <v>9.8092499999999969</v>
      </c>
    </row>
    <row r="233" spans="1:5" x14ac:dyDescent="0.35">
      <c r="A233" s="5">
        <v>5.75</v>
      </c>
      <c r="B233" s="5">
        <v>13.34</v>
      </c>
      <c r="C233" s="12">
        <f t="shared" si="10"/>
        <v>76.704999999999998</v>
      </c>
      <c r="D233" s="12">
        <f t="shared" si="11"/>
        <v>5.8937499999999998</v>
      </c>
      <c r="E233" s="12">
        <f t="shared" si="12"/>
        <v>78.622624999999999</v>
      </c>
    </row>
    <row r="234" spans="1:5" x14ac:dyDescent="0.35">
      <c r="A234" s="5">
        <v>6</v>
      </c>
      <c r="B234" s="5">
        <v>14.4</v>
      </c>
      <c r="C234" s="12">
        <f t="shared" si="10"/>
        <v>86.4</v>
      </c>
      <c r="D234" s="12">
        <f t="shared" si="11"/>
        <v>6.1499999999999995</v>
      </c>
      <c r="E234" s="12">
        <f t="shared" si="12"/>
        <v>88.559999999999988</v>
      </c>
    </row>
    <row r="235" spans="1:5" x14ac:dyDescent="0.35">
      <c r="A235" s="217" t="s">
        <v>37</v>
      </c>
      <c r="B235" s="217"/>
      <c r="C235" s="5">
        <f>SUM(C227:C234)</f>
        <v>380.11109999999996</v>
      </c>
      <c r="D235" s="5"/>
      <c r="E235" s="5">
        <f>SUM(E227:E234)</f>
        <v>389.61387749999994</v>
      </c>
    </row>
    <row r="236" spans="1:5" x14ac:dyDescent="0.35">
      <c r="A236" s="7"/>
      <c r="B236" s="7"/>
    </row>
    <row r="237" spans="1:5" x14ac:dyDescent="0.35">
      <c r="A237" s="1" t="s">
        <v>86</v>
      </c>
      <c r="B237" s="7"/>
      <c r="C237" s="13">
        <f>C235</f>
        <v>380.11109999999996</v>
      </c>
      <c r="D237" s="4" t="s">
        <v>16</v>
      </c>
    </row>
    <row r="238" spans="1:5" x14ac:dyDescent="0.35">
      <c r="A238" s="1" t="s">
        <v>87</v>
      </c>
      <c r="B238" s="7"/>
      <c r="C238" s="13">
        <f>E235</f>
        <v>389.61387749999994</v>
      </c>
      <c r="D238" s="4" t="s">
        <v>16</v>
      </c>
    </row>
    <row r="239" spans="1:5" x14ac:dyDescent="0.35">
      <c r="A239" s="1" t="s">
        <v>89</v>
      </c>
      <c r="B239" s="7"/>
      <c r="C239" s="4">
        <f>(SUM(A227:A234)+SUM(B227:B234))</f>
        <v>107.76</v>
      </c>
      <c r="D239" s="4" t="s">
        <v>91</v>
      </c>
    </row>
    <row r="240" spans="1:5" x14ac:dyDescent="0.35">
      <c r="A240" s="1" t="s">
        <v>90</v>
      </c>
      <c r="B240" s="7"/>
      <c r="C240" s="4">
        <f>SUM(A242:A250)</f>
        <v>64.91</v>
      </c>
      <c r="D240" s="4" t="s">
        <v>92</v>
      </c>
    </row>
    <row r="241" spans="1:3" x14ac:dyDescent="0.35">
      <c r="A241" s="12" t="s">
        <v>27</v>
      </c>
      <c r="B241" s="7"/>
    </row>
    <row r="242" spans="1:3" x14ac:dyDescent="0.35">
      <c r="A242" s="5">
        <v>5.52</v>
      </c>
    </row>
    <row r="243" spans="1:3" x14ac:dyDescent="0.35">
      <c r="A243" s="5">
        <v>5.12</v>
      </c>
    </row>
    <row r="244" spans="1:3" x14ac:dyDescent="0.35">
      <c r="A244" s="5">
        <v>2.2400000000000002</v>
      </c>
    </row>
    <row r="245" spans="1:3" x14ac:dyDescent="0.35">
      <c r="A245" s="5">
        <v>1.85</v>
      </c>
    </row>
    <row r="246" spans="1:3" x14ac:dyDescent="0.35">
      <c r="A246" s="5">
        <v>2.75</v>
      </c>
    </row>
    <row r="247" spans="1:3" x14ac:dyDescent="0.35">
      <c r="A247" s="5">
        <v>12.54</v>
      </c>
    </row>
    <row r="248" spans="1:3" x14ac:dyDescent="0.35">
      <c r="A248" s="5">
        <v>4.6500000000000004</v>
      </c>
    </row>
    <row r="249" spans="1:3" x14ac:dyDescent="0.35">
      <c r="A249" s="5">
        <v>13.34</v>
      </c>
    </row>
    <row r="250" spans="1:3" x14ac:dyDescent="0.35">
      <c r="A250" s="5">
        <v>16.899999999999999</v>
      </c>
    </row>
    <row r="252" spans="1:3" x14ac:dyDescent="0.35">
      <c r="A252" s="1" t="s">
        <v>93</v>
      </c>
    </row>
    <row r="253" spans="1:3" x14ac:dyDescent="0.35">
      <c r="A253" s="1" t="s">
        <v>94</v>
      </c>
      <c r="B253" s="4">
        <v>10</v>
      </c>
    </row>
    <row r="255" spans="1:3" x14ac:dyDescent="0.35">
      <c r="A255" s="1" t="s">
        <v>81</v>
      </c>
    </row>
    <row r="256" spans="1:3" x14ac:dyDescent="0.35">
      <c r="A256" s="12" t="s">
        <v>27</v>
      </c>
      <c r="B256" s="12" t="s">
        <v>83</v>
      </c>
      <c r="C256" s="5"/>
    </row>
    <row r="257" spans="1:4" x14ac:dyDescent="0.35">
      <c r="A257" s="5">
        <v>6.7</v>
      </c>
      <c r="B257" s="5">
        <v>6.55</v>
      </c>
      <c r="C257" s="5">
        <f>B257*A257</f>
        <v>43.884999999999998</v>
      </c>
    </row>
    <row r="258" spans="1:4" x14ac:dyDescent="0.35">
      <c r="A258" s="217" t="s">
        <v>37</v>
      </c>
      <c r="B258" s="217"/>
      <c r="C258" s="5">
        <f>SUM(C257)</f>
        <v>43.884999999999998</v>
      </c>
    </row>
    <row r="259" spans="1:4" x14ac:dyDescent="0.35">
      <c r="A259" s="7"/>
      <c r="B259" s="7"/>
    </row>
    <row r="260" spans="1:4" x14ac:dyDescent="0.35">
      <c r="A260" s="1" t="s">
        <v>86</v>
      </c>
      <c r="B260" s="7"/>
      <c r="C260" s="13">
        <f>C258</f>
        <v>43.884999999999998</v>
      </c>
      <c r="D260" s="4" t="s">
        <v>16</v>
      </c>
    </row>
    <row r="261" spans="1:4" x14ac:dyDescent="0.35">
      <c r="A261" s="1" t="s">
        <v>87</v>
      </c>
      <c r="B261" s="7"/>
      <c r="C261" s="13">
        <f>C260*1.05</f>
        <v>46.079250000000002</v>
      </c>
      <c r="D261" s="4" t="s">
        <v>16</v>
      </c>
    </row>
    <row r="262" spans="1:4" x14ac:dyDescent="0.35">
      <c r="A262" s="1" t="s">
        <v>90</v>
      </c>
      <c r="B262" s="7"/>
      <c r="C262" s="4">
        <v>20</v>
      </c>
      <c r="D262" s="4" t="s">
        <v>92</v>
      </c>
    </row>
    <row r="263" spans="1:4" x14ac:dyDescent="0.35">
      <c r="A263" s="1"/>
      <c r="B263" s="7"/>
    </row>
    <row r="264" spans="1:4" x14ac:dyDescent="0.35">
      <c r="A264" s="1" t="s">
        <v>85</v>
      </c>
    </row>
    <row r="265" spans="1:4" x14ac:dyDescent="0.35">
      <c r="A265" s="12" t="s">
        <v>27</v>
      </c>
      <c r="B265" s="12" t="s">
        <v>83</v>
      </c>
      <c r="C265" s="5" t="s">
        <v>49</v>
      </c>
    </row>
    <row r="266" spans="1:4" x14ac:dyDescent="0.35">
      <c r="A266" s="5">
        <v>2.4500000000000002</v>
      </c>
      <c r="B266" s="5">
        <v>3.35</v>
      </c>
      <c r="C266" s="5">
        <f>B266*A266</f>
        <v>8.2075000000000014</v>
      </c>
    </row>
    <row r="267" spans="1:4" x14ac:dyDescent="0.35">
      <c r="A267" s="5">
        <v>1.5</v>
      </c>
      <c r="B267" s="5">
        <v>2.7</v>
      </c>
      <c r="C267" s="5">
        <f t="shared" ref="C267:C269" si="13">B267*A267</f>
        <v>4.0500000000000007</v>
      </c>
    </row>
    <row r="268" spans="1:4" x14ac:dyDescent="0.35">
      <c r="A268" s="5">
        <v>2.2400000000000002</v>
      </c>
      <c r="B268" s="5">
        <v>1</v>
      </c>
      <c r="C268" s="5">
        <f t="shared" si="13"/>
        <v>2.2400000000000002</v>
      </c>
    </row>
    <row r="269" spans="1:4" x14ac:dyDescent="0.35">
      <c r="A269" s="5">
        <v>2.75</v>
      </c>
      <c r="B269" s="5">
        <v>2.9</v>
      </c>
      <c r="C269" s="5">
        <f t="shared" si="13"/>
        <v>7.9749999999999996</v>
      </c>
    </row>
    <row r="270" spans="1:4" x14ac:dyDescent="0.35">
      <c r="A270" s="217" t="s">
        <v>37</v>
      </c>
      <c r="B270" s="217"/>
      <c r="C270" s="5">
        <f>SUM(C266:C269)</f>
        <v>22.472500000000004</v>
      </c>
    </row>
    <row r="272" spans="1:4" ht="29" x14ac:dyDescent="0.35">
      <c r="A272" s="4" t="s">
        <v>95</v>
      </c>
      <c r="B272" s="4">
        <f>C270</f>
        <v>22.472500000000004</v>
      </c>
      <c r="C272" s="4" t="s">
        <v>16</v>
      </c>
    </row>
    <row r="273" spans="1:4" x14ac:dyDescent="0.35">
      <c r="A273" s="4" t="s">
        <v>96</v>
      </c>
      <c r="B273" s="4">
        <f>C270</f>
        <v>22.472500000000004</v>
      </c>
      <c r="C273" s="4" t="s">
        <v>16</v>
      </c>
    </row>
    <row r="275" spans="1:4" x14ac:dyDescent="0.35">
      <c r="A275" s="3" t="s">
        <v>99</v>
      </c>
    </row>
    <row r="276" spans="1:4" x14ac:dyDescent="0.35">
      <c r="A276" s="1" t="s">
        <v>100</v>
      </c>
    </row>
    <row r="277" spans="1:4" x14ac:dyDescent="0.35">
      <c r="A277" s="5" t="s">
        <v>45</v>
      </c>
      <c r="B277" s="5" t="s">
        <v>101</v>
      </c>
      <c r="C277" s="5" t="s">
        <v>50</v>
      </c>
    </row>
    <row r="278" spans="1:4" x14ac:dyDescent="0.35">
      <c r="A278" s="5">
        <f>B222</f>
        <v>380.28370000000001</v>
      </c>
      <c r="B278" s="5">
        <v>0.06</v>
      </c>
      <c r="C278" s="5">
        <f>B278*A278</f>
        <v>22.817022000000001</v>
      </c>
    </row>
    <row r="280" spans="1:4" x14ac:dyDescent="0.35">
      <c r="A280" s="1" t="s">
        <v>102</v>
      </c>
      <c r="C280" s="4">
        <f>A278</f>
        <v>380.28370000000001</v>
      </c>
      <c r="D280" s="4" t="s">
        <v>16</v>
      </c>
    </row>
    <row r="281" spans="1:4" x14ac:dyDescent="0.35">
      <c r="A281" s="1" t="s">
        <v>103</v>
      </c>
      <c r="C281" s="4">
        <f>C280</f>
        <v>380.28370000000001</v>
      </c>
      <c r="D281" s="4" t="s">
        <v>16</v>
      </c>
    </row>
    <row r="282" spans="1:4" x14ac:dyDescent="0.35">
      <c r="A282" s="1" t="s">
        <v>104</v>
      </c>
      <c r="C282" s="4">
        <f>C281</f>
        <v>380.28370000000001</v>
      </c>
      <c r="D282" s="4" t="s">
        <v>16</v>
      </c>
    </row>
    <row r="284" spans="1:4" x14ac:dyDescent="0.35">
      <c r="A284" s="1" t="s">
        <v>105</v>
      </c>
    </row>
    <row r="285" spans="1:4" x14ac:dyDescent="0.35">
      <c r="A285" s="4" t="s">
        <v>106</v>
      </c>
      <c r="B285" s="4">
        <f>A185-(SUM(E194:E213))</f>
        <v>94.629999999999939</v>
      </c>
      <c r="C285" s="4" t="s">
        <v>92</v>
      </c>
    </row>
    <row r="287" spans="1:4" x14ac:dyDescent="0.35">
      <c r="A287" s="2" t="s">
        <v>108</v>
      </c>
    </row>
    <row r="288" spans="1:4" s="1" customFormat="1" x14ac:dyDescent="0.35">
      <c r="A288" s="1" t="s">
        <v>110</v>
      </c>
    </row>
    <row r="289" spans="1:6" s="1" customFormat="1" x14ac:dyDescent="0.35">
      <c r="A289" s="12"/>
      <c r="B289" s="12" t="s">
        <v>118</v>
      </c>
      <c r="C289" s="12" t="s">
        <v>28</v>
      </c>
      <c r="D289" s="12" t="s">
        <v>119</v>
      </c>
      <c r="E289" s="12" t="s">
        <v>125</v>
      </c>
      <c r="F289" s="12" t="s">
        <v>148</v>
      </c>
    </row>
    <row r="290" spans="1:6" s="1" customFormat="1" x14ac:dyDescent="0.35">
      <c r="A290" s="12" t="s">
        <v>111</v>
      </c>
      <c r="B290" s="12">
        <v>0.6</v>
      </c>
      <c r="C290" s="12">
        <v>0.4</v>
      </c>
      <c r="D290" s="12" t="s">
        <v>132</v>
      </c>
      <c r="E290" s="12">
        <v>6</v>
      </c>
      <c r="F290" s="12">
        <f>+E290*C290*B290</f>
        <v>1.4400000000000002</v>
      </c>
    </row>
    <row r="291" spans="1:6" s="1" customFormat="1" x14ac:dyDescent="0.35">
      <c r="A291" s="12" t="s">
        <v>112</v>
      </c>
      <c r="B291" s="12">
        <v>0.8</v>
      </c>
      <c r="C291" s="12">
        <v>0.6</v>
      </c>
      <c r="D291" s="12" t="s">
        <v>132</v>
      </c>
      <c r="E291" s="12">
        <v>11</v>
      </c>
      <c r="F291" s="12">
        <f t="shared" ref="F291:F301" si="14">+E291*C291*B291</f>
        <v>5.28</v>
      </c>
    </row>
    <row r="292" spans="1:6" s="1" customFormat="1" x14ac:dyDescent="0.35">
      <c r="A292" s="12" t="s">
        <v>113</v>
      </c>
      <c r="B292" s="12">
        <v>0.7</v>
      </c>
      <c r="C292" s="12">
        <v>1</v>
      </c>
      <c r="D292" s="12" t="s">
        <v>133</v>
      </c>
      <c r="E292" s="12">
        <v>0</v>
      </c>
      <c r="F292" s="12">
        <f t="shared" si="14"/>
        <v>0</v>
      </c>
    </row>
    <row r="293" spans="1:6" s="1" customFormat="1" x14ac:dyDescent="0.35">
      <c r="A293" s="12" t="s">
        <v>114</v>
      </c>
      <c r="B293" s="12">
        <v>0.8</v>
      </c>
      <c r="C293" s="12">
        <v>1</v>
      </c>
      <c r="D293" s="12" t="s">
        <v>133</v>
      </c>
      <c r="E293" s="12">
        <v>0</v>
      </c>
      <c r="F293" s="12">
        <f t="shared" si="14"/>
        <v>0</v>
      </c>
    </row>
    <row r="294" spans="1:6" s="1" customFormat="1" x14ac:dyDescent="0.35">
      <c r="A294" s="12" t="s">
        <v>115</v>
      </c>
      <c r="B294" s="12">
        <v>0.8</v>
      </c>
      <c r="C294" s="12">
        <v>1.2</v>
      </c>
      <c r="D294" s="12" t="s">
        <v>133</v>
      </c>
      <c r="E294" s="12">
        <v>0</v>
      </c>
      <c r="F294" s="12">
        <f t="shared" si="14"/>
        <v>0</v>
      </c>
    </row>
    <row r="295" spans="1:6" s="1" customFormat="1" x14ac:dyDescent="0.35">
      <c r="A295" s="12" t="s">
        <v>116</v>
      </c>
      <c r="B295" s="12">
        <v>1.2</v>
      </c>
      <c r="C295" s="12">
        <v>0.6</v>
      </c>
      <c r="D295" s="12" t="s">
        <v>132</v>
      </c>
      <c r="E295" s="12">
        <v>2</v>
      </c>
      <c r="F295" s="12">
        <f t="shared" si="14"/>
        <v>1.44</v>
      </c>
    </row>
    <row r="296" spans="1:6" s="1" customFormat="1" x14ac:dyDescent="0.35">
      <c r="A296" s="12" t="s">
        <v>117</v>
      </c>
      <c r="B296" s="12">
        <v>0.8</v>
      </c>
      <c r="C296" s="12">
        <v>1.2</v>
      </c>
      <c r="D296" s="12" t="s">
        <v>134</v>
      </c>
      <c r="E296" s="12">
        <v>2</v>
      </c>
      <c r="F296" s="12">
        <f t="shared" si="14"/>
        <v>1.92</v>
      </c>
    </row>
    <row r="297" spans="1:6" s="1" customFormat="1" x14ac:dyDescent="0.35">
      <c r="A297" s="12" t="s">
        <v>120</v>
      </c>
      <c r="B297" s="12">
        <v>0.6</v>
      </c>
      <c r="C297" s="12">
        <v>1.5</v>
      </c>
      <c r="D297" s="12" t="s">
        <v>134</v>
      </c>
      <c r="E297" s="12">
        <v>0</v>
      </c>
      <c r="F297" s="12">
        <f t="shared" si="14"/>
        <v>0</v>
      </c>
    </row>
    <row r="298" spans="1:6" s="1" customFormat="1" x14ac:dyDescent="0.35">
      <c r="A298" s="12" t="s">
        <v>121</v>
      </c>
      <c r="B298" s="12">
        <v>1.2</v>
      </c>
      <c r="C298" s="12">
        <v>1</v>
      </c>
      <c r="D298" s="12" t="s">
        <v>135</v>
      </c>
      <c r="E298" s="12">
        <v>2</v>
      </c>
      <c r="F298" s="12">
        <f t="shared" si="14"/>
        <v>2.4</v>
      </c>
    </row>
    <row r="299" spans="1:6" s="1" customFormat="1" x14ac:dyDescent="0.35">
      <c r="A299" s="12" t="s">
        <v>122</v>
      </c>
      <c r="B299" s="12">
        <v>1.5</v>
      </c>
      <c r="C299" s="12">
        <v>1</v>
      </c>
      <c r="D299" s="12" t="s">
        <v>135</v>
      </c>
      <c r="E299" s="12">
        <v>2</v>
      </c>
      <c r="F299" s="12">
        <f t="shared" si="14"/>
        <v>3</v>
      </c>
    </row>
    <row r="300" spans="1:6" s="1" customFormat="1" x14ac:dyDescent="0.35">
      <c r="A300" s="12" t="s">
        <v>123</v>
      </c>
      <c r="B300" s="12">
        <v>2</v>
      </c>
      <c r="C300" s="12">
        <v>1</v>
      </c>
      <c r="D300" s="12" t="s">
        <v>135</v>
      </c>
      <c r="E300" s="12">
        <v>10</v>
      </c>
      <c r="F300" s="12">
        <f t="shared" si="14"/>
        <v>20</v>
      </c>
    </row>
    <row r="301" spans="1:6" s="1" customFormat="1" x14ac:dyDescent="0.35">
      <c r="A301" s="12" t="s">
        <v>124</v>
      </c>
      <c r="B301" s="12">
        <v>1</v>
      </c>
      <c r="C301" s="12">
        <v>1</v>
      </c>
      <c r="D301" s="12" t="s">
        <v>135</v>
      </c>
      <c r="E301" s="12">
        <v>0</v>
      </c>
      <c r="F301" s="12">
        <f t="shared" si="14"/>
        <v>0</v>
      </c>
    </row>
    <row r="302" spans="1:6" s="1" customFormat="1" x14ac:dyDescent="0.35">
      <c r="D302" s="1" t="str">
        <f>D290</f>
        <v>Maxim-ar</v>
      </c>
      <c r="E302" s="1">
        <f>F290+F291+F292+F293+F294+F295+F296+F297</f>
        <v>10.08</v>
      </c>
    </row>
    <row r="303" spans="1:6" s="1" customFormat="1" x14ac:dyDescent="0.35">
      <c r="D303" s="1" t="str">
        <f>D299</f>
        <v>Correr</v>
      </c>
      <c r="E303" s="1">
        <f>F298+F299+F300+F301</f>
        <v>25.4</v>
      </c>
    </row>
    <row r="304" spans="1:6" s="1" customFormat="1" x14ac:dyDescent="0.35">
      <c r="A304" s="1" t="s">
        <v>126</v>
      </c>
    </row>
    <row r="305" spans="1:8" s="1" customFormat="1" x14ac:dyDescent="0.35">
      <c r="A305" s="12"/>
      <c r="B305" s="12" t="s">
        <v>118</v>
      </c>
      <c r="C305" s="12" t="s">
        <v>28</v>
      </c>
      <c r="D305" s="12" t="s">
        <v>119</v>
      </c>
      <c r="E305" s="12" t="s">
        <v>125</v>
      </c>
      <c r="F305" s="12" t="s">
        <v>148</v>
      </c>
      <c r="H305" s="1" t="s">
        <v>358</v>
      </c>
    </row>
    <row r="306" spans="1:8" s="1" customFormat="1" x14ac:dyDescent="0.35">
      <c r="A306" s="12" t="s">
        <v>127</v>
      </c>
      <c r="B306" s="12">
        <v>1.2</v>
      </c>
      <c r="C306" s="12">
        <v>2.1</v>
      </c>
      <c r="D306" s="12" t="s">
        <v>138</v>
      </c>
      <c r="E306" s="12">
        <v>1</v>
      </c>
      <c r="F306" s="12">
        <f>+E306*C306*B306</f>
        <v>2.52</v>
      </c>
      <c r="H306" s="1">
        <f>B306*0.2*E306</f>
        <v>0.24</v>
      </c>
    </row>
    <row r="307" spans="1:8" s="1" customFormat="1" x14ac:dyDescent="0.35">
      <c r="A307" s="12" t="s">
        <v>128</v>
      </c>
      <c r="B307" s="12">
        <v>1.2</v>
      </c>
      <c r="C307" s="12">
        <v>2.1</v>
      </c>
      <c r="D307" s="12" t="s">
        <v>142</v>
      </c>
      <c r="E307" s="12">
        <v>1</v>
      </c>
      <c r="F307" s="12">
        <f t="shared" ref="F307:F316" si="15">+E307*C307*B307</f>
        <v>2.52</v>
      </c>
      <c r="H307" s="1">
        <f t="shared" ref="H307:H316" si="16">B307*0.2*E307</f>
        <v>0.24</v>
      </c>
    </row>
    <row r="308" spans="1:8" s="1" customFormat="1" x14ac:dyDescent="0.35">
      <c r="A308" s="12" t="s">
        <v>129</v>
      </c>
      <c r="B308" s="12">
        <v>1.4</v>
      </c>
      <c r="C308" s="12">
        <v>2.1</v>
      </c>
      <c r="D308" s="12" t="s">
        <v>138</v>
      </c>
      <c r="E308" s="12">
        <v>1</v>
      </c>
      <c r="F308" s="12">
        <f t="shared" si="15"/>
        <v>2.94</v>
      </c>
      <c r="H308" s="1">
        <f t="shared" si="16"/>
        <v>0.27999999999999997</v>
      </c>
    </row>
    <row r="309" spans="1:8" s="1" customFormat="1" x14ac:dyDescent="0.35">
      <c r="A309" s="12" t="s">
        <v>130</v>
      </c>
      <c r="B309" s="12">
        <v>1.2</v>
      </c>
      <c r="C309" s="12">
        <v>1.5</v>
      </c>
      <c r="D309" s="12" t="s">
        <v>137</v>
      </c>
      <c r="E309" s="12">
        <v>0</v>
      </c>
      <c r="F309" s="12">
        <f t="shared" si="15"/>
        <v>0</v>
      </c>
      <c r="H309" s="1">
        <f t="shared" si="16"/>
        <v>0</v>
      </c>
    </row>
    <row r="310" spans="1:8" s="1" customFormat="1" x14ac:dyDescent="0.35">
      <c r="A310" s="12" t="s">
        <v>131</v>
      </c>
      <c r="B310" s="12">
        <v>1.2</v>
      </c>
      <c r="C310" s="12">
        <v>2.1</v>
      </c>
      <c r="D310" s="12" t="s">
        <v>139</v>
      </c>
      <c r="E310" s="12">
        <v>1</v>
      </c>
      <c r="F310" s="12">
        <f t="shared" si="15"/>
        <v>2.52</v>
      </c>
      <c r="H310" s="1">
        <f t="shared" si="16"/>
        <v>0.24</v>
      </c>
    </row>
    <row r="311" spans="1:8" s="1" customFormat="1" x14ac:dyDescent="0.35">
      <c r="A311" s="12" t="s">
        <v>136</v>
      </c>
      <c r="B311" s="12">
        <v>0.8</v>
      </c>
      <c r="C311" s="12">
        <v>2.1</v>
      </c>
      <c r="D311" s="12" t="s">
        <v>145</v>
      </c>
      <c r="E311" s="12">
        <v>2</v>
      </c>
      <c r="F311" s="12">
        <f t="shared" si="15"/>
        <v>3.3600000000000003</v>
      </c>
      <c r="H311" s="1">
        <f t="shared" si="16"/>
        <v>0.32000000000000006</v>
      </c>
    </row>
    <row r="312" spans="1:8" s="1" customFormat="1" x14ac:dyDescent="0.35">
      <c r="A312" s="12" t="s">
        <v>141</v>
      </c>
      <c r="B312" s="12">
        <v>0.8</v>
      </c>
      <c r="C312" s="12">
        <v>2.1</v>
      </c>
      <c r="D312" s="12" t="s">
        <v>140</v>
      </c>
      <c r="E312" s="12">
        <v>11</v>
      </c>
      <c r="F312" s="12">
        <f t="shared" si="15"/>
        <v>18.48</v>
      </c>
      <c r="H312" s="1">
        <f t="shared" si="16"/>
        <v>1.7600000000000002</v>
      </c>
    </row>
    <row r="313" spans="1:8" s="1" customFormat="1" x14ac:dyDescent="0.35">
      <c r="A313" s="28" t="s">
        <v>143</v>
      </c>
      <c r="B313" s="28">
        <v>0.6</v>
      </c>
      <c r="C313" s="28">
        <v>1.8</v>
      </c>
      <c r="D313" s="28" t="s">
        <v>159</v>
      </c>
      <c r="E313" s="28">
        <v>6</v>
      </c>
      <c r="F313" s="28">
        <f t="shared" si="15"/>
        <v>6.48</v>
      </c>
      <c r="G313" s="16" t="s">
        <v>158</v>
      </c>
      <c r="H313" s="1">
        <f t="shared" si="16"/>
        <v>0.72</v>
      </c>
    </row>
    <row r="314" spans="1:8" s="1" customFormat="1" x14ac:dyDescent="0.35">
      <c r="A314" s="12" t="s">
        <v>144</v>
      </c>
      <c r="B314" s="12">
        <v>0.9</v>
      </c>
      <c r="C314" s="12">
        <v>2.1</v>
      </c>
      <c r="D314" s="12" t="s">
        <v>152</v>
      </c>
      <c r="E314" s="12">
        <v>12</v>
      </c>
      <c r="F314" s="12">
        <f t="shared" si="15"/>
        <v>22.680000000000003</v>
      </c>
      <c r="H314" s="1">
        <f t="shared" si="16"/>
        <v>2.16</v>
      </c>
    </row>
    <row r="315" spans="1:8" s="1" customFormat="1" x14ac:dyDescent="0.35">
      <c r="A315" s="12" t="s">
        <v>146</v>
      </c>
      <c r="B315" s="12">
        <v>0.9</v>
      </c>
      <c r="C315" s="12">
        <v>2.1</v>
      </c>
      <c r="D315" s="12" t="s">
        <v>135</v>
      </c>
      <c r="E315" s="12">
        <v>1</v>
      </c>
      <c r="F315" s="12">
        <f t="shared" si="15"/>
        <v>1.8900000000000001</v>
      </c>
      <c r="H315" s="1">
        <f t="shared" si="16"/>
        <v>0.18000000000000002</v>
      </c>
    </row>
    <row r="316" spans="1:8" s="1" customFormat="1" x14ac:dyDescent="0.35">
      <c r="A316" s="12" t="s">
        <v>162</v>
      </c>
      <c r="B316" s="12">
        <v>0.6</v>
      </c>
      <c r="C316" s="12">
        <v>1.2</v>
      </c>
      <c r="D316" s="12" t="s">
        <v>163</v>
      </c>
      <c r="E316" s="12">
        <v>1</v>
      </c>
      <c r="F316" s="12">
        <f t="shared" si="15"/>
        <v>0.72</v>
      </c>
      <c r="H316" s="1">
        <f t="shared" si="16"/>
        <v>0.12</v>
      </c>
    </row>
    <row r="317" spans="1:8" s="1" customFormat="1" x14ac:dyDescent="0.35">
      <c r="H317" s="1">
        <f>SUM(H306:H316)</f>
        <v>6.26</v>
      </c>
    </row>
    <row r="318" spans="1:8" s="1" customFormat="1" x14ac:dyDescent="0.35"/>
    <row r="319" spans="1:8" s="1" customFormat="1" x14ac:dyDescent="0.35">
      <c r="A319" s="1" t="s">
        <v>147</v>
      </c>
      <c r="D319" s="1">
        <f>(F310+F314)*2</f>
        <v>50.400000000000006</v>
      </c>
      <c r="E319" s="1" t="s">
        <v>16</v>
      </c>
    </row>
    <row r="320" spans="1:8" s="1" customFormat="1" x14ac:dyDescent="0.35">
      <c r="A320" s="1" t="s">
        <v>149</v>
      </c>
      <c r="D320" s="1">
        <f>(F307+F311+F316)*2</f>
        <v>13.200000000000001</v>
      </c>
      <c r="E320" s="1" t="s">
        <v>16</v>
      </c>
    </row>
    <row r="321" spans="1:5" s="1" customFormat="1" x14ac:dyDescent="0.35">
      <c r="A321" s="1" t="s">
        <v>150</v>
      </c>
      <c r="D321" s="1">
        <f>F295+F296+F297+F290+F291+F292+F293+F294</f>
        <v>10.08</v>
      </c>
      <c r="E321" s="1" t="s">
        <v>16</v>
      </c>
    </row>
    <row r="322" spans="1:5" s="1" customFormat="1" x14ac:dyDescent="0.35">
      <c r="A322" s="1" t="s">
        <v>151</v>
      </c>
      <c r="D322" s="1">
        <f>F298+F299+F300+F301</f>
        <v>25.4</v>
      </c>
      <c r="E322" s="1" t="s">
        <v>16</v>
      </c>
    </row>
    <row r="323" spans="1:5" s="1" customFormat="1" x14ac:dyDescent="0.35"/>
    <row r="324" spans="1:5" s="1" customFormat="1" x14ac:dyDescent="0.35">
      <c r="A324" s="2" t="s">
        <v>109</v>
      </c>
    </row>
    <row r="325" spans="1:5" s="1" customFormat="1" x14ac:dyDescent="0.35">
      <c r="A325" s="1" t="s">
        <v>154</v>
      </c>
    </row>
    <row r="326" spans="1:5" s="1" customFormat="1" x14ac:dyDescent="0.35">
      <c r="A326" s="12" t="s">
        <v>27</v>
      </c>
      <c r="B326" s="12" t="s">
        <v>156</v>
      </c>
      <c r="C326" s="12" t="s">
        <v>157</v>
      </c>
      <c r="D326" s="12" t="s">
        <v>148</v>
      </c>
    </row>
    <row r="327" spans="1:5" s="1" customFormat="1" x14ac:dyDescent="0.35">
      <c r="A327" s="12">
        <v>1.2</v>
      </c>
      <c r="B327" s="12">
        <v>1.8</v>
      </c>
      <c r="C327" s="12">
        <v>3</v>
      </c>
      <c r="D327" s="12">
        <f>A327*B327*C327</f>
        <v>6.48</v>
      </c>
    </row>
    <row r="328" spans="1:5" s="1" customFormat="1" x14ac:dyDescent="0.35">
      <c r="A328" s="12">
        <v>3.3</v>
      </c>
      <c r="B328" s="12">
        <f>B327</f>
        <v>1.8</v>
      </c>
      <c r="C328" s="12">
        <v>1</v>
      </c>
      <c r="D328" s="12">
        <f t="shared" ref="D328:D331" si="17">A328*B328*C328</f>
        <v>5.9399999999999995</v>
      </c>
    </row>
    <row r="329" spans="1:5" s="1" customFormat="1" x14ac:dyDescent="0.35">
      <c r="A329" s="12">
        <v>2.25</v>
      </c>
      <c r="B329" s="12">
        <f>B328</f>
        <v>1.8</v>
      </c>
      <c r="C329" s="12">
        <v>1</v>
      </c>
      <c r="D329" s="12">
        <f t="shared" si="17"/>
        <v>4.05</v>
      </c>
    </row>
    <row r="330" spans="1:5" s="1" customFormat="1" x14ac:dyDescent="0.35">
      <c r="A330" s="12">
        <v>1.2</v>
      </c>
      <c r="B330" s="12">
        <f t="shared" ref="B330:B331" si="18">B329</f>
        <v>1.8</v>
      </c>
      <c r="C330" s="12">
        <v>2</v>
      </c>
      <c r="D330" s="12">
        <f t="shared" si="17"/>
        <v>4.32</v>
      </c>
    </row>
    <row r="331" spans="1:5" s="1" customFormat="1" x14ac:dyDescent="0.35">
      <c r="A331" s="12">
        <v>1.1000000000000001</v>
      </c>
      <c r="B331" s="12">
        <f t="shared" si="18"/>
        <v>1.8</v>
      </c>
      <c r="C331" s="12">
        <v>1</v>
      </c>
      <c r="D331" s="12">
        <f t="shared" si="17"/>
        <v>1.9800000000000002</v>
      </c>
    </row>
    <row r="332" spans="1:5" s="1" customFormat="1" x14ac:dyDescent="0.35">
      <c r="A332" s="225" t="s">
        <v>37</v>
      </c>
      <c r="B332" s="226"/>
      <c r="C332" s="227"/>
      <c r="D332" s="12">
        <f>SUM(D327:D331)</f>
        <v>22.77</v>
      </c>
    </row>
    <row r="333" spans="1:5" s="1" customFormat="1" x14ac:dyDescent="0.35"/>
    <row r="334" spans="1:5" s="1" customFormat="1" x14ac:dyDescent="0.35">
      <c r="A334" s="1" t="s">
        <v>160</v>
      </c>
    </row>
    <row r="335" spans="1:5" s="1" customFormat="1" x14ac:dyDescent="0.35">
      <c r="A335" s="12" t="s">
        <v>27</v>
      </c>
      <c r="B335" s="12" t="s">
        <v>156</v>
      </c>
      <c r="C335" s="12" t="s">
        <v>157</v>
      </c>
      <c r="D335" s="12" t="s">
        <v>148</v>
      </c>
    </row>
    <row r="336" spans="1:5" s="1" customFormat="1" x14ac:dyDescent="0.35">
      <c r="A336" s="12">
        <v>1.05</v>
      </c>
      <c r="B336" s="12">
        <v>2.8</v>
      </c>
      <c r="C336" s="12">
        <v>1</v>
      </c>
      <c r="D336" s="12">
        <f>A336*B336*C336</f>
        <v>2.94</v>
      </c>
    </row>
    <row r="337" spans="1:4" s="1" customFormat="1" x14ac:dyDescent="0.35">
      <c r="A337" s="12">
        <v>2.93</v>
      </c>
      <c r="B337" s="12">
        <f>B336</f>
        <v>2.8</v>
      </c>
      <c r="C337" s="12">
        <v>1</v>
      </c>
      <c r="D337" s="12">
        <f t="shared" ref="D337:D343" si="19">A337*B337*C337</f>
        <v>8.2040000000000006</v>
      </c>
    </row>
    <row r="338" spans="1:4" s="1" customFormat="1" x14ac:dyDescent="0.35">
      <c r="A338" s="12">
        <v>1.46</v>
      </c>
      <c r="B338" s="12">
        <f>B337</f>
        <v>2.8</v>
      </c>
      <c r="C338" s="12">
        <v>1</v>
      </c>
      <c r="D338" s="12">
        <f t="shared" si="19"/>
        <v>4.0880000000000001</v>
      </c>
    </row>
    <row r="339" spans="1:4" s="1" customFormat="1" x14ac:dyDescent="0.35">
      <c r="A339" s="12">
        <v>4.7</v>
      </c>
      <c r="B339" s="12">
        <f t="shared" ref="B339:B341" si="20">B338</f>
        <v>2.8</v>
      </c>
      <c r="C339" s="12">
        <v>1</v>
      </c>
      <c r="D339" s="12">
        <f t="shared" si="19"/>
        <v>13.16</v>
      </c>
    </row>
    <row r="340" spans="1:4" s="1" customFormat="1" x14ac:dyDescent="0.35">
      <c r="A340" s="12">
        <v>3.6</v>
      </c>
      <c r="B340" s="12">
        <f t="shared" si="20"/>
        <v>2.8</v>
      </c>
      <c r="C340" s="12">
        <v>1</v>
      </c>
      <c r="D340" s="12">
        <f t="shared" si="19"/>
        <v>10.08</v>
      </c>
    </row>
    <row r="341" spans="1:4" s="1" customFormat="1" x14ac:dyDescent="0.35">
      <c r="A341" s="12">
        <v>3.01</v>
      </c>
      <c r="B341" s="12">
        <f t="shared" si="20"/>
        <v>2.8</v>
      </c>
      <c r="C341" s="12">
        <v>1</v>
      </c>
      <c r="D341" s="12">
        <f t="shared" si="19"/>
        <v>8.427999999999999</v>
      </c>
    </row>
    <row r="342" spans="1:4" s="1" customFormat="1" x14ac:dyDescent="0.35">
      <c r="A342" s="12">
        <v>2.37</v>
      </c>
      <c r="B342" s="12">
        <f t="shared" ref="B342" si="21">B341</f>
        <v>2.8</v>
      </c>
      <c r="C342" s="12">
        <v>1</v>
      </c>
      <c r="D342" s="12">
        <f t="shared" si="19"/>
        <v>6.6360000000000001</v>
      </c>
    </row>
    <row r="343" spans="1:4" s="1" customFormat="1" x14ac:dyDescent="0.35">
      <c r="A343" s="12">
        <v>1.61</v>
      </c>
      <c r="B343" s="12">
        <f t="shared" ref="B343" si="22">B342</f>
        <v>2.8</v>
      </c>
      <c r="C343" s="12">
        <v>1</v>
      </c>
      <c r="D343" s="12">
        <f t="shared" si="19"/>
        <v>4.508</v>
      </c>
    </row>
    <row r="344" spans="1:4" s="1" customFormat="1" x14ac:dyDescent="0.35">
      <c r="A344" s="225" t="s">
        <v>37</v>
      </c>
      <c r="B344" s="226"/>
      <c r="C344" s="227"/>
      <c r="D344" s="12">
        <f>SUM(D336:D343)</f>
        <v>58.044000000000004</v>
      </c>
    </row>
    <row r="345" spans="1:4" s="1" customFormat="1" x14ac:dyDescent="0.35"/>
    <row r="346" spans="1:4" s="1" customFormat="1" x14ac:dyDescent="0.35">
      <c r="A346" s="1" t="s">
        <v>155</v>
      </c>
    </row>
    <row r="347" spans="1:4" s="1" customFormat="1" x14ac:dyDescent="0.35">
      <c r="A347" s="12" t="s">
        <v>27</v>
      </c>
      <c r="B347" s="12" t="s">
        <v>83</v>
      </c>
      <c r="C347" s="12" t="s">
        <v>157</v>
      </c>
      <c r="D347" s="12" t="s">
        <v>148</v>
      </c>
    </row>
    <row r="348" spans="1:4" s="1" customFormat="1" x14ac:dyDescent="0.35">
      <c r="A348" s="12">
        <v>2.2000000000000002</v>
      </c>
      <c r="B348" s="12">
        <v>0.62</v>
      </c>
      <c r="C348" s="12">
        <v>1</v>
      </c>
      <c r="D348" s="12">
        <f>A348*B348*C348</f>
        <v>1.3640000000000001</v>
      </c>
    </row>
    <row r="349" spans="1:4" s="1" customFormat="1" x14ac:dyDescent="0.35">
      <c r="A349" s="12">
        <v>1.27</v>
      </c>
      <c r="B349" s="12">
        <v>0.62</v>
      </c>
      <c r="C349" s="12">
        <v>1</v>
      </c>
      <c r="D349" s="12">
        <f t="shared" ref="D349:D352" si="23">A349*B349*C349</f>
        <v>0.78739999999999999</v>
      </c>
    </row>
    <row r="350" spans="1:4" s="1" customFormat="1" x14ac:dyDescent="0.35">
      <c r="A350" s="12">
        <v>1.75</v>
      </c>
      <c r="B350" s="12">
        <v>0.55000000000000004</v>
      </c>
      <c r="C350" s="12">
        <v>1</v>
      </c>
      <c r="D350" s="12">
        <f t="shared" si="23"/>
        <v>0.96250000000000013</v>
      </c>
    </row>
    <row r="351" spans="1:4" s="1" customFormat="1" x14ac:dyDescent="0.35">
      <c r="A351" s="12">
        <v>3.14</v>
      </c>
      <c r="B351" s="12">
        <v>0.62</v>
      </c>
      <c r="C351" s="12">
        <v>1</v>
      </c>
      <c r="D351" s="12">
        <f t="shared" si="23"/>
        <v>1.9468000000000001</v>
      </c>
    </row>
    <row r="352" spans="1:4" s="1" customFormat="1" x14ac:dyDescent="0.35">
      <c r="A352" s="12">
        <v>1.24</v>
      </c>
      <c r="B352" s="12">
        <v>0.62</v>
      </c>
      <c r="C352" s="12">
        <v>1</v>
      </c>
      <c r="D352" s="12">
        <f t="shared" si="23"/>
        <v>0.76880000000000004</v>
      </c>
    </row>
    <row r="353" spans="1:6" s="1" customFormat="1" x14ac:dyDescent="0.35">
      <c r="A353" s="12"/>
      <c r="B353" s="12"/>
      <c r="C353" s="12">
        <v>1</v>
      </c>
      <c r="D353" s="12">
        <f t="shared" ref="D353" si="24">A353*B353*C353</f>
        <v>0</v>
      </c>
    </row>
    <row r="354" spans="1:6" s="1" customFormat="1" x14ac:dyDescent="0.35">
      <c r="A354" s="225" t="s">
        <v>37</v>
      </c>
      <c r="B354" s="226"/>
      <c r="C354" s="227"/>
      <c r="D354" s="12">
        <f>SUM(D348:D353)</f>
        <v>5.8295000000000003</v>
      </c>
    </row>
    <row r="355" spans="1:6" s="1" customFormat="1" x14ac:dyDescent="0.35"/>
    <row r="356" spans="1:6" s="1" customFormat="1" x14ac:dyDescent="0.35">
      <c r="A356" s="1" t="s">
        <v>161</v>
      </c>
      <c r="C356" s="1">
        <f>A348+A349+A350+A351+A352+2*0.62*(C348+C349+C350+C351+C352+C353)</f>
        <v>17.04</v>
      </c>
      <c r="D356" s="1" t="s">
        <v>92</v>
      </c>
    </row>
    <row r="357" spans="1:6" s="1" customFormat="1" x14ac:dyDescent="0.35"/>
    <row r="358" spans="1:6" x14ac:dyDescent="0.35">
      <c r="A358" s="2" t="s">
        <v>107</v>
      </c>
    </row>
    <row r="359" spans="1:6" x14ac:dyDescent="0.35">
      <c r="A359" s="1" t="s">
        <v>211</v>
      </c>
    </row>
    <row r="360" spans="1:6" x14ac:dyDescent="0.35">
      <c r="A360" s="1" t="s">
        <v>187</v>
      </c>
      <c r="B360" s="1"/>
    </row>
    <row r="361" spans="1:6" ht="43.5" x14ac:dyDescent="0.35">
      <c r="A361" s="12" t="s">
        <v>22</v>
      </c>
      <c r="B361" s="5" t="s">
        <v>83</v>
      </c>
      <c r="C361" s="5" t="s">
        <v>188</v>
      </c>
      <c r="D361" s="5" t="s">
        <v>189</v>
      </c>
      <c r="E361" s="5" t="s">
        <v>190</v>
      </c>
      <c r="F361" s="5" t="s">
        <v>191</v>
      </c>
    </row>
    <row r="362" spans="1:6" x14ac:dyDescent="0.35">
      <c r="A362" s="12">
        <v>70</v>
      </c>
      <c r="B362" s="5">
        <v>0.5</v>
      </c>
      <c r="C362" s="12">
        <v>1.2</v>
      </c>
      <c r="D362" s="5">
        <f>A362*B362*C362</f>
        <v>42</v>
      </c>
      <c r="E362" s="5">
        <f>A362*B362</f>
        <v>35</v>
      </c>
      <c r="F362" s="5">
        <f>D362</f>
        <v>42</v>
      </c>
    </row>
    <row r="363" spans="1:6" x14ac:dyDescent="0.35">
      <c r="A363" s="1"/>
      <c r="C363" s="1"/>
    </row>
    <row r="364" spans="1:6" x14ac:dyDescent="0.35">
      <c r="A364" s="1" t="s">
        <v>212</v>
      </c>
      <c r="C364" s="1">
        <f>A362</f>
        <v>70</v>
      </c>
      <c r="D364" s="4" t="s">
        <v>92</v>
      </c>
    </row>
    <row r="365" spans="1:6" x14ac:dyDescent="0.35">
      <c r="A365" s="1"/>
      <c r="C365" s="1"/>
    </row>
    <row r="366" spans="1:6" x14ac:dyDescent="0.35">
      <c r="A366" s="1" t="s">
        <v>213</v>
      </c>
      <c r="C366" s="1"/>
    </row>
    <row r="367" spans="1:6" x14ac:dyDescent="0.35">
      <c r="A367" s="1" t="s">
        <v>212</v>
      </c>
      <c r="C367" s="1">
        <v>20</v>
      </c>
      <c r="D367" s="4" t="s">
        <v>92</v>
      </c>
    </row>
    <row r="368" spans="1:6" x14ac:dyDescent="0.35">
      <c r="A368" s="1"/>
      <c r="C368" s="1"/>
    </row>
    <row r="369" spans="1:4" x14ac:dyDescent="0.35">
      <c r="A369" s="1" t="s">
        <v>164</v>
      </c>
      <c r="C369" s="4">
        <v>4</v>
      </c>
      <c r="D369" s="4" t="s">
        <v>165</v>
      </c>
    </row>
    <row r="370" spans="1:4" x14ac:dyDescent="0.35">
      <c r="A370" s="1" t="s">
        <v>166</v>
      </c>
      <c r="C370" s="4">
        <f>25+11</f>
        <v>36</v>
      </c>
      <c r="D370" s="4" t="s">
        <v>167</v>
      </c>
    </row>
    <row r="371" spans="1:4" x14ac:dyDescent="0.35">
      <c r="A371" s="1"/>
    </row>
    <row r="372" spans="1:4" x14ac:dyDescent="0.35">
      <c r="A372" s="1" t="s">
        <v>168</v>
      </c>
    </row>
    <row r="373" spans="1:4" x14ac:dyDescent="0.35">
      <c r="A373" s="12" t="s">
        <v>169</v>
      </c>
      <c r="B373" s="5" t="s">
        <v>170</v>
      </c>
    </row>
    <row r="374" spans="1:4" x14ac:dyDescent="0.35">
      <c r="A374" s="12">
        <v>40</v>
      </c>
      <c r="B374" s="5">
        <v>14</v>
      </c>
    </row>
    <row r="375" spans="1:4" x14ac:dyDescent="0.35">
      <c r="A375" s="12">
        <v>50</v>
      </c>
      <c r="B375" s="5">
        <f>17+4</f>
        <v>21</v>
      </c>
    </row>
    <row r="376" spans="1:4" x14ac:dyDescent="0.35">
      <c r="A376" s="12">
        <v>100</v>
      </c>
      <c r="B376" s="5">
        <v>11</v>
      </c>
    </row>
    <row r="377" spans="1:4" x14ac:dyDescent="0.35">
      <c r="A377" s="1"/>
    </row>
    <row r="378" spans="1:4" x14ac:dyDescent="0.35">
      <c r="A378" s="1" t="s">
        <v>171</v>
      </c>
    </row>
    <row r="379" spans="1:4" x14ac:dyDescent="0.35">
      <c r="A379" s="5" t="s">
        <v>22</v>
      </c>
      <c r="B379" s="5" t="s">
        <v>20</v>
      </c>
    </row>
    <row r="380" spans="1:4" x14ac:dyDescent="0.35">
      <c r="A380" s="5">
        <v>0.88</v>
      </c>
      <c r="B380" s="5">
        <v>14</v>
      </c>
    </row>
    <row r="382" spans="1:4" x14ac:dyDescent="0.35">
      <c r="A382" s="1" t="s">
        <v>172</v>
      </c>
    </row>
    <row r="383" spans="1:4" x14ac:dyDescent="0.35">
      <c r="A383" s="221"/>
      <c r="B383" s="221"/>
      <c r="C383" s="5" t="s">
        <v>20</v>
      </c>
    </row>
    <row r="384" spans="1:4" x14ac:dyDescent="0.35">
      <c r="A384" s="222" t="s">
        <v>173</v>
      </c>
      <c r="B384" s="222"/>
      <c r="C384" s="5">
        <v>4</v>
      </c>
    </row>
    <row r="385" spans="1:3" x14ac:dyDescent="0.35">
      <c r="A385" s="222" t="s">
        <v>174</v>
      </c>
      <c r="B385" s="222"/>
      <c r="C385" s="5">
        <v>7</v>
      </c>
    </row>
    <row r="386" spans="1:3" x14ac:dyDescent="0.35">
      <c r="A386" s="222" t="s">
        <v>175</v>
      </c>
      <c r="B386" s="222"/>
      <c r="C386" s="5">
        <v>8</v>
      </c>
    </row>
    <row r="387" spans="1:3" x14ac:dyDescent="0.35">
      <c r="A387" s="222" t="s">
        <v>183</v>
      </c>
      <c r="B387" s="222"/>
      <c r="C387" s="5">
        <v>3</v>
      </c>
    </row>
    <row r="388" spans="1:3" x14ac:dyDescent="0.35">
      <c r="A388" s="222" t="s">
        <v>176</v>
      </c>
      <c r="B388" s="222"/>
      <c r="C388" s="5">
        <v>6</v>
      </c>
    </row>
    <row r="389" spans="1:3" x14ac:dyDescent="0.35">
      <c r="A389" s="222" t="s">
        <v>177</v>
      </c>
      <c r="B389" s="222"/>
      <c r="C389" s="5">
        <v>2</v>
      </c>
    </row>
    <row r="390" spans="1:3" x14ac:dyDescent="0.35">
      <c r="A390" s="222" t="s">
        <v>178</v>
      </c>
      <c r="B390" s="222"/>
      <c r="C390" s="5">
        <v>2</v>
      </c>
    </row>
    <row r="391" spans="1:3" x14ac:dyDescent="0.35">
      <c r="A391" s="222" t="s">
        <v>179</v>
      </c>
      <c r="B391" s="222"/>
      <c r="C391" s="5">
        <f>C389+C390+1</f>
        <v>5</v>
      </c>
    </row>
    <row r="392" spans="1:3" x14ac:dyDescent="0.35">
      <c r="A392" s="222" t="s">
        <v>180</v>
      </c>
      <c r="B392" s="222"/>
      <c r="C392" s="5">
        <f>C386+C387</f>
        <v>11</v>
      </c>
    </row>
    <row r="393" spans="1:3" x14ac:dyDescent="0.35">
      <c r="A393" s="222" t="s">
        <v>181</v>
      </c>
      <c r="B393" s="222"/>
      <c r="C393" s="5">
        <v>2</v>
      </c>
    </row>
    <row r="394" spans="1:3" x14ac:dyDescent="0.35">
      <c r="A394" s="222" t="s">
        <v>182</v>
      </c>
      <c r="B394" s="222"/>
      <c r="C394" s="5">
        <v>1</v>
      </c>
    </row>
    <row r="395" spans="1:3" x14ac:dyDescent="0.35">
      <c r="A395" s="9"/>
      <c r="B395" s="9"/>
    </row>
    <row r="396" spans="1:3" x14ac:dyDescent="0.35">
      <c r="A396" s="20" t="s">
        <v>221</v>
      </c>
      <c r="B396" s="9"/>
    </row>
    <row r="397" spans="1:3" x14ac:dyDescent="0.35">
      <c r="A397" s="9"/>
      <c r="B397" s="9"/>
    </row>
    <row r="398" spans="1:3" x14ac:dyDescent="0.35">
      <c r="A398" s="9"/>
      <c r="B398" s="9"/>
    </row>
    <row r="399" spans="1:3" x14ac:dyDescent="0.35">
      <c r="A399" s="9"/>
      <c r="B399" s="9"/>
    </row>
    <row r="400" spans="1:3" x14ac:dyDescent="0.35">
      <c r="A400" s="9"/>
      <c r="B400" s="9"/>
    </row>
    <row r="402" spans="1:6" x14ac:dyDescent="0.35">
      <c r="A402" s="19" t="s">
        <v>184</v>
      </c>
    </row>
    <row r="403" spans="1:6" x14ac:dyDescent="0.35">
      <c r="A403" s="1" t="s">
        <v>185</v>
      </c>
      <c r="B403" s="1"/>
      <c r="C403" s="4">
        <v>1</v>
      </c>
      <c r="D403" s="4" t="s">
        <v>186</v>
      </c>
    </row>
    <row r="404" spans="1:6" x14ac:dyDescent="0.35">
      <c r="B404" s="1"/>
    </row>
    <row r="405" spans="1:6" x14ac:dyDescent="0.35">
      <c r="A405" s="1" t="s">
        <v>187</v>
      </c>
      <c r="B405" s="1"/>
    </row>
    <row r="406" spans="1:6" ht="43.5" x14ac:dyDescent="0.35">
      <c r="A406" s="12" t="s">
        <v>22</v>
      </c>
      <c r="B406" s="5" t="s">
        <v>83</v>
      </c>
      <c r="C406" s="5" t="s">
        <v>188</v>
      </c>
      <c r="D406" s="5" t="s">
        <v>189</v>
      </c>
      <c r="E406" s="5" t="s">
        <v>190</v>
      </c>
      <c r="F406" s="5" t="s">
        <v>191</v>
      </c>
    </row>
    <row r="407" spans="1:6" x14ac:dyDescent="0.35">
      <c r="A407" s="12">
        <v>70</v>
      </c>
      <c r="B407" s="5">
        <v>0.3</v>
      </c>
      <c r="C407" s="12">
        <v>1</v>
      </c>
      <c r="D407" s="5">
        <f>A407*B407*C407</f>
        <v>21</v>
      </c>
      <c r="E407" s="5">
        <f>A407*B407</f>
        <v>21</v>
      </c>
      <c r="F407" s="5">
        <f>D407</f>
        <v>21</v>
      </c>
    </row>
    <row r="408" spans="1:6" x14ac:dyDescent="0.35">
      <c r="A408" s="1"/>
      <c r="B408" s="1"/>
    </row>
    <row r="409" spans="1:6" x14ac:dyDescent="0.35">
      <c r="A409" s="1" t="s">
        <v>194</v>
      </c>
      <c r="B409" s="1"/>
      <c r="C409" s="4">
        <f>A407</f>
        <v>70</v>
      </c>
      <c r="D409" s="4" t="s">
        <v>92</v>
      </c>
    </row>
    <row r="410" spans="1:6" x14ac:dyDescent="0.35">
      <c r="A410" s="1" t="s">
        <v>192</v>
      </c>
      <c r="C410" s="4">
        <v>3</v>
      </c>
      <c r="D410" s="4" t="s">
        <v>193</v>
      </c>
    </row>
    <row r="411" spans="1:6" x14ac:dyDescent="0.35">
      <c r="A411" s="1" t="s">
        <v>195</v>
      </c>
      <c r="C411" s="4">
        <f>C409*3</f>
        <v>210</v>
      </c>
      <c r="D411" s="4" t="s">
        <v>92</v>
      </c>
    </row>
    <row r="413" spans="1:6" x14ac:dyDescent="0.35">
      <c r="A413" s="4" t="s">
        <v>196</v>
      </c>
    </row>
    <row r="414" spans="1:6" x14ac:dyDescent="0.35">
      <c r="A414" s="4" t="s">
        <v>197</v>
      </c>
    </row>
    <row r="418" spans="1:2" x14ac:dyDescent="0.35">
      <c r="A418" s="4" t="s">
        <v>198</v>
      </c>
    </row>
    <row r="419" spans="1:2" x14ac:dyDescent="0.35">
      <c r="A419" s="5"/>
      <c r="B419" s="5" t="s">
        <v>22</v>
      </c>
    </row>
    <row r="420" spans="1:2" x14ac:dyDescent="0.35">
      <c r="A420" s="5" t="s">
        <v>199</v>
      </c>
      <c r="B420" s="5"/>
    </row>
    <row r="421" spans="1:2" x14ac:dyDescent="0.35">
      <c r="A421" s="5" t="s">
        <v>200</v>
      </c>
      <c r="B421" s="5"/>
    </row>
    <row r="422" spans="1:2" x14ac:dyDescent="0.35">
      <c r="A422" s="5" t="s">
        <v>201</v>
      </c>
      <c r="B422" s="5"/>
    </row>
    <row r="423" spans="1:2" x14ac:dyDescent="0.35">
      <c r="A423" s="5" t="s">
        <v>202</v>
      </c>
      <c r="B423" s="5"/>
    </row>
    <row r="425" spans="1:2" x14ac:dyDescent="0.35">
      <c r="A425" s="4" t="s">
        <v>203</v>
      </c>
    </row>
    <row r="426" spans="1:2" x14ac:dyDescent="0.35">
      <c r="A426" s="4" t="s">
        <v>209</v>
      </c>
    </row>
    <row r="427" spans="1:2" x14ac:dyDescent="0.35">
      <c r="A427" s="1" t="s">
        <v>210</v>
      </c>
    </row>
    <row r="428" spans="1:2" x14ac:dyDescent="0.35">
      <c r="A428" s="4" t="s">
        <v>205</v>
      </c>
    </row>
    <row r="429" spans="1:2" x14ac:dyDescent="0.35">
      <c r="A429" s="4" t="s">
        <v>204</v>
      </c>
    </row>
    <row r="430" spans="1:2" x14ac:dyDescent="0.35">
      <c r="A430" s="3"/>
    </row>
    <row r="431" spans="1:2" x14ac:dyDescent="0.35">
      <c r="A431" s="2" t="s">
        <v>208</v>
      </c>
    </row>
    <row r="432" spans="1:2" x14ac:dyDescent="0.35">
      <c r="A432" s="1" t="s">
        <v>206</v>
      </c>
    </row>
    <row r="433" spans="1:10" x14ac:dyDescent="0.35">
      <c r="A433" s="4" t="s">
        <v>207</v>
      </c>
    </row>
    <row r="435" spans="1:10" x14ac:dyDescent="0.35">
      <c r="A435" s="19" t="s">
        <v>215</v>
      </c>
    </row>
    <row r="439" spans="1:10" x14ac:dyDescent="0.35">
      <c r="A439" s="2" t="s">
        <v>214</v>
      </c>
    </row>
    <row r="440" spans="1:10" x14ac:dyDescent="0.35">
      <c r="A440" s="1" t="s">
        <v>216</v>
      </c>
    </row>
    <row r="441" spans="1:10" x14ac:dyDescent="0.35">
      <c r="A441" s="3" t="s">
        <v>17</v>
      </c>
    </row>
    <row r="442" spans="1:10" x14ac:dyDescent="0.35">
      <c r="A442" s="3" t="s">
        <v>19</v>
      </c>
    </row>
    <row r="443" spans="1:10" ht="29" x14ac:dyDescent="0.35">
      <c r="A443" s="5" t="s">
        <v>20</v>
      </c>
      <c r="B443" s="5" t="s">
        <v>23</v>
      </c>
      <c r="C443" s="5" t="s">
        <v>24</v>
      </c>
      <c r="D443" s="5" t="s">
        <v>29</v>
      </c>
      <c r="E443" s="5" t="s">
        <v>30</v>
      </c>
      <c r="F443" s="5" t="s">
        <v>32</v>
      </c>
      <c r="G443" s="5" t="s">
        <v>31</v>
      </c>
    </row>
    <row r="444" spans="1:10" x14ac:dyDescent="0.35">
      <c r="A444" s="5">
        <f>60/3+1</f>
        <v>21</v>
      </c>
      <c r="B444" s="5">
        <v>0.25</v>
      </c>
      <c r="C444" s="5">
        <v>2.2000000000000002</v>
      </c>
      <c r="D444" s="5">
        <f>A444*(PI()*(B444^2)/4)*C444</f>
        <v>2.2678371968101323</v>
      </c>
      <c r="E444" s="5">
        <f>A444*(PI()*(B444^2)/4)*0.05</f>
        <v>5.154175447295755E-2</v>
      </c>
      <c r="F444" s="5">
        <f>D444</f>
        <v>2.2678371968101323</v>
      </c>
      <c r="G444" s="5">
        <f>F444*80</f>
        <v>181.42697574481059</v>
      </c>
    </row>
    <row r="445" spans="1:10" x14ac:dyDescent="0.35">
      <c r="A445" s="3" t="s">
        <v>25</v>
      </c>
    </row>
    <row r="446" spans="1:10" ht="29" x14ac:dyDescent="0.35">
      <c r="A446" s="5" t="s">
        <v>20</v>
      </c>
      <c r="B446" s="5" t="s">
        <v>26</v>
      </c>
      <c r="C446" s="5" t="s">
        <v>27</v>
      </c>
      <c r="D446" s="5" t="s">
        <v>28</v>
      </c>
      <c r="E446" s="5" t="s">
        <v>29</v>
      </c>
      <c r="F446" s="5" t="s">
        <v>30</v>
      </c>
      <c r="G446" s="5" t="s">
        <v>33</v>
      </c>
      <c r="H446" s="5" t="s">
        <v>32</v>
      </c>
      <c r="I446" s="5" t="s">
        <v>31</v>
      </c>
      <c r="J446" s="5" t="s">
        <v>34</v>
      </c>
    </row>
    <row r="447" spans="1:10" x14ac:dyDescent="0.35">
      <c r="A447" s="5">
        <f>A444</f>
        <v>21</v>
      </c>
      <c r="B447" s="5">
        <v>0.3</v>
      </c>
      <c r="C447" s="5">
        <v>0.3</v>
      </c>
      <c r="D447" s="5">
        <v>0.3</v>
      </c>
      <c r="E447" s="5">
        <f>A447*(B447+0.2)*(C447+0.2)*D447</f>
        <v>1.575</v>
      </c>
      <c r="F447" s="5">
        <f>A447*B447*C447*0.05</f>
        <v>9.4500000000000001E-2</v>
      </c>
      <c r="G447" s="5">
        <f>A447*4*B447*D447</f>
        <v>7.56</v>
      </c>
      <c r="H447" s="5">
        <f>A447*B447*C447*D447</f>
        <v>0.56699999999999995</v>
      </c>
      <c r="I447" s="5">
        <f>H447*80</f>
        <v>45.36</v>
      </c>
      <c r="J447" s="5">
        <f>E447-H447</f>
        <v>1.008</v>
      </c>
    </row>
    <row r="449" spans="1:10" x14ac:dyDescent="0.35">
      <c r="A449" s="228" t="s">
        <v>21</v>
      </c>
      <c r="B449" s="228"/>
    </row>
    <row r="450" spans="1:10" x14ac:dyDescent="0.35">
      <c r="A450" s="5" t="s">
        <v>20</v>
      </c>
      <c r="B450" s="5" t="s">
        <v>22</v>
      </c>
      <c r="C450" s="5" t="s">
        <v>36</v>
      </c>
    </row>
    <row r="451" spans="1:10" x14ac:dyDescent="0.35">
      <c r="A451" s="5">
        <v>1</v>
      </c>
      <c r="B451" s="5">
        <v>60</v>
      </c>
      <c r="C451" s="5">
        <f>B451*A451</f>
        <v>60</v>
      </c>
    </row>
    <row r="452" spans="1:10" x14ac:dyDescent="0.35">
      <c r="A452" s="218" t="s">
        <v>37</v>
      </c>
      <c r="B452" s="220"/>
      <c r="C452" s="5">
        <f>SUM(C451:C451)</f>
        <v>60</v>
      </c>
    </row>
    <row r="453" spans="1:10" x14ac:dyDescent="0.35">
      <c r="A453" s="223" t="s">
        <v>38</v>
      </c>
      <c r="B453" s="223"/>
    </row>
    <row r="454" spans="1:10" ht="29" x14ac:dyDescent="0.35">
      <c r="A454" s="5" t="s">
        <v>20</v>
      </c>
      <c r="B454" s="5" t="s">
        <v>26</v>
      </c>
      <c r="C454" s="5" t="s">
        <v>27</v>
      </c>
      <c r="D454" s="5" t="s">
        <v>28</v>
      </c>
      <c r="E454" s="5" t="s">
        <v>29</v>
      </c>
      <c r="F454" s="5" t="s">
        <v>30</v>
      </c>
      <c r="G454" s="5" t="s">
        <v>33</v>
      </c>
      <c r="H454" s="5" t="s">
        <v>32</v>
      </c>
      <c r="I454" s="5" t="s">
        <v>31</v>
      </c>
      <c r="J454" s="5" t="s">
        <v>34</v>
      </c>
    </row>
    <row r="455" spans="1:10" x14ac:dyDescent="0.35">
      <c r="A455" s="5">
        <v>1</v>
      </c>
      <c r="B455" s="5">
        <v>0.3</v>
      </c>
      <c r="C455" s="5">
        <f>C452</f>
        <v>60</v>
      </c>
      <c r="D455" s="5">
        <v>0.3</v>
      </c>
      <c r="E455" s="5">
        <f>A455*(B455+0.2)*(C455+0.2)*D455</f>
        <v>9.0299999999999994</v>
      </c>
      <c r="F455" s="5">
        <f>A455*B455*C455*0.05</f>
        <v>0.9</v>
      </c>
      <c r="G455" s="5">
        <f>A455*2*C455*D455</f>
        <v>36</v>
      </c>
      <c r="H455" s="5">
        <f>A455*B455*C455*D455</f>
        <v>5.3999999999999995</v>
      </c>
      <c r="I455" s="5">
        <f>H455*80</f>
        <v>431.99999999999994</v>
      </c>
      <c r="J455" s="5">
        <f>E455-H455</f>
        <v>3.63</v>
      </c>
    </row>
    <row r="457" spans="1:10" x14ac:dyDescent="0.35">
      <c r="A457" s="3" t="s">
        <v>35</v>
      </c>
    </row>
    <row r="458" spans="1:10" ht="29" x14ac:dyDescent="0.35">
      <c r="A458" s="5" t="s">
        <v>20</v>
      </c>
      <c r="B458" s="5" t="s">
        <v>26</v>
      </c>
      <c r="C458" s="5" t="s">
        <v>27</v>
      </c>
      <c r="D458" s="5" t="s">
        <v>28</v>
      </c>
      <c r="E458" s="5" t="s">
        <v>33</v>
      </c>
      <c r="F458" s="5" t="s">
        <v>32</v>
      </c>
      <c r="G458" s="5" t="s">
        <v>31</v>
      </c>
    </row>
    <row r="459" spans="1:10" x14ac:dyDescent="0.35">
      <c r="A459" s="5">
        <f>A447</f>
        <v>21</v>
      </c>
      <c r="B459" s="5">
        <v>0.2</v>
      </c>
      <c r="C459" s="5">
        <v>0.2</v>
      </c>
      <c r="D459" s="5">
        <v>2.2000000000000002</v>
      </c>
      <c r="E459" s="5">
        <f>A459*(2*B459*D459+2*C459*D459)</f>
        <v>36.960000000000008</v>
      </c>
      <c r="F459" s="5">
        <f>A459*B459*C459*D459</f>
        <v>1.8480000000000003</v>
      </c>
      <c r="G459" s="5">
        <f>F459*80</f>
        <v>147.84000000000003</v>
      </c>
    </row>
    <row r="460" spans="1:10" x14ac:dyDescent="0.35">
      <c r="A460" s="18"/>
      <c r="B460" s="18"/>
    </row>
    <row r="461" spans="1:10" x14ac:dyDescent="0.35">
      <c r="A461" s="224" t="s">
        <v>39</v>
      </c>
      <c r="B461" s="224"/>
    </row>
    <row r="462" spans="1:10" ht="29" x14ac:dyDescent="0.35">
      <c r="A462" s="5" t="s">
        <v>20</v>
      </c>
      <c r="B462" s="5" t="s">
        <v>26</v>
      </c>
      <c r="C462" s="5" t="s">
        <v>27</v>
      </c>
      <c r="D462" s="5" t="s">
        <v>28</v>
      </c>
      <c r="E462" s="5" t="s">
        <v>33</v>
      </c>
      <c r="F462" s="5" t="s">
        <v>32</v>
      </c>
      <c r="G462" s="5" t="s">
        <v>31</v>
      </c>
    </row>
    <row r="463" spans="1:10" x14ac:dyDescent="0.35">
      <c r="A463" s="5">
        <v>1</v>
      </c>
      <c r="B463" s="5">
        <v>0.2</v>
      </c>
      <c r="C463" s="5">
        <f>C455</f>
        <v>60</v>
      </c>
      <c r="D463" s="5">
        <v>0.2</v>
      </c>
      <c r="E463" s="5">
        <f>A463*(2*C463*D463+1*B463*C463)</f>
        <v>36</v>
      </c>
      <c r="F463" s="5">
        <f>A463*B463*C463*D463</f>
        <v>2.4000000000000004</v>
      </c>
      <c r="G463" s="5">
        <f>F463*80</f>
        <v>192.00000000000003</v>
      </c>
    </row>
    <row r="465" spans="1:3" x14ac:dyDescent="0.35">
      <c r="A465" s="3" t="s">
        <v>55</v>
      </c>
    </row>
    <row r="466" spans="1:3" x14ac:dyDescent="0.35">
      <c r="A466" s="5" t="s">
        <v>22</v>
      </c>
      <c r="B466" s="5" t="s">
        <v>28</v>
      </c>
      <c r="C466" s="5" t="s">
        <v>45</v>
      </c>
    </row>
    <row r="467" spans="1:3" x14ac:dyDescent="0.35">
      <c r="A467" s="5">
        <f>C455</f>
        <v>60</v>
      </c>
      <c r="B467" s="5">
        <v>2.2000000000000002</v>
      </c>
      <c r="C467" s="5">
        <f>B467*A467</f>
        <v>132</v>
      </c>
    </row>
    <row r="468" spans="1:3" x14ac:dyDescent="0.35">
      <c r="A468" s="218" t="s">
        <v>37</v>
      </c>
      <c r="B468" s="220"/>
      <c r="C468" s="5">
        <f>SUM(C467:C467)</f>
        <v>132</v>
      </c>
    </row>
    <row r="470" spans="1:3" x14ac:dyDescent="0.35">
      <c r="A470" s="2" t="s">
        <v>73</v>
      </c>
    </row>
    <row r="471" spans="1:3" x14ac:dyDescent="0.35">
      <c r="A471" s="4" t="s">
        <v>74</v>
      </c>
      <c r="B471" s="4">
        <f>C468*2</f>
        <v>264</v>
      </c>
      <c r="C471" s="4" t="s">
        <v>16</v>
      </c>
    </row>
    <row r="472" spans="1:3" x14ac:dyDescent="0.35">
      <c r="A472" s="4" t="s">
        <v>75</v>
      </c>
      <c r="B472" s="4">
        <f>B471</f>
        <v>264</v>
      </c>
      <c r="C472" s="4" t="s">
        <v>16</v>
      </c>
    </row>
    <row r="473" spans="1:3" ht="29" x14ac:dyDescent="0.35">
      <c r="A473" s="4" t="s">
        <v>217</v>
      </c>
      <c r="B473" s="4">
        <f>B472</f>
        <v>264</v>
      </c>
      <c r="C473" s="4" t="s">
        <v>16</v>
      </c>
    </row>
    <row r="475" spans="1:3" s="1" customFormat="1" x14ac:dyDescent="0.35">
      <c r="A475" s="1" t="s">
        <v>218</v>
      </c>
    </row>
    <row r="476" spans="1:3" s="1" customFormat="1" x14ac:dyDescent="0.35">
      <c r="A476" s="12" t="s">
        <v>22</v>
      </c>
      <c r="B476" s="12" t="s">
        <v>26</v>
      </c>
      <c r="C476" s="12" t="s">
        <v>148</v>
      </c>
    </row>
    <row r="477" spans="1:3" s="1" customFormat="1" x14ac:dyDescent="0.35">
      <c r="A477" s="12">
        <v>9.16</v>
      </c>
      <c r="B477" s="12">
        <v>1.2</v>
      </c>
      <c r="C477" s="12">
        <f>B477*A477</f>
        <v>10.991999999999999</v>
      </c>
    </row>
    <row r="478" spans="1:3" s="1" customFormat="1" x14ac:dyDescent="0.35">
      <c r="A478" s="12">
        <v>11.65</v>
      </c>
      <c r="B478" s="12">
        <f>B477</f>
        <v>1.2</v>
      </c>
      <c r="C478" s="12">
        <f t="shared" ref="C478:C486" si="25">B478*A478</f>
        <v>13.98</v>
      </c>
    </row>
    <row r="479" spans="1:3" s="1" customFormat="1" x14ac:dyDescent="0.35">
      <c r="A479" s="12">
        <v>17.170000000000002</v>
      </c>
      <c r="B479" s="12">
        <f t="shared" ref="B479:B481" si="26">B478</f>
        <v>1.2</v>
      </c>
      <c r="C479" s="12">
        <f t="shared" si="25"/>
        <v>20.604000000000003</v>
      </c>
    </row>
    <row r="480" spans="1:3" s="1" customFormat="1" x14ac:dyDescent="0.35">
      <c r="A480" s="12">
        <v>12.04</v>
      </c>
      <c r="B480" s="12">
        <f t="shared" si="26"/>
        <v>1.2</v>
      </c>
      <c r="C480" s="12">
        <f t="shared" si="25"/>
        <v>14.447999999999999</v>
      </c>
    </row>
    <row r="481" spans="1:10" s="1" customFormat="1" x14ac:dyDescent="0.35">
      <c r="A481" s="12">
        <v>5.37</v>
      </c>
      <c r="B481" s="12">
        <f t="shared" si="26"/>
        <v>1.2</v>
      </c>
      <c r="C481" s="12">
        <f t="shared" si="25"/>
        <v>6.444</v>
      </c>
    </row>
    <row r="482" spans="1:10" s="1" customFormat="1" x14ac:dyDescent="0.35">
      <c r="A482" s="12">
        <v>8.99</v>
      </c>
      <c r="B482" s="12">
        <v>1.4</v>
      </c>
      <c r="C482" s="12">
        <f t="shared" si="25"/>
        <v>12.586</v>
      </c>
    </row>
    <row r="483" spans="1:10" s="1" customFormat="1" x14ac:dyDescent="0.35">
      <c r="A483" s="12">
        <v>17.8</v>
      </c>
      <c r="B483" s="12">
        <v>2</v>
      </c>
      <c r="C483" s="12">
        <f t="shared" si="25"/>
        <v>35.6</v>
      </c>
    </row>
    <row r="484" spans="1:10" s="1" customFormat="1" x14ac:dyDescent="0.35">
      <c r="A484" s="12">
        <v>10.82</v>
      </c>
      <c r="B484" s="12">
        <v>1.5</v>
      </c>
      <c r="C484" s="12">
        <f t="shared" si="25"/>
        <v>16.23</v>
      </c>
    </row>
    <row r="485" spans="1:10" s="1" customFormat="1" x14ac:dyDescent="0.35">
      <c r="A485" s="12">
        <v>2.85</v>
      </c>
      <c r="B485" s="12">
        <v>2.95</v>
      </c>
      <c r="C485" s="12">
        <f t="shared" si="25"/>
        <v>8.4075000000000006</v>
      </c>
    </row>
    <row r="486" spans="1:10" s="1" customFormat="1" x14ac:dyDescent="0.35">
      <c r="A486" s="12">
        <v>3.57</v>
      </c>
      <c r="B486" s="12">
        <v>1.5</v>
      </c>
      <c r="C486" s="12">
        <f t="shared" si="25"/>
        <v>5.3549999999999995</v>
      </c>
    </row>
    <row r="487" spans="1:10" s="1" customFormat="1" x14ac:dyDescent="0.35">
      <c r="A487" s="221" t="s">
        <v>37</v>
      </c>
      <c r="B487" s="221"/>
      <c r="C487" s="12">
        <f>SUM(C477:C486)</f>
        <v>144.64649999999997</v>
      </c>
    </row>
    <row r="488" spans="1:10" s="1" customFormat="1" x14ac:dyDescent="0.35">
      <c r="A488" s="8"/>
      <c r="B488" s="8"/>
    </row>
    <row r="489" spans="1:10" s="1" customFormat="1" x14ac:dyDescent="0.35">
      <c r="A489" s="1" t="s">
        <v>11</v>
      </c>
      <c r="C489" s="1">
        <f>C490+C491</f>
        <v>125</v>
      </c>
      <c r="D489" s="1" t="s">
        <v>16</v>
      </c>
    </row>
    <row r="490" spans="1:10" s="1" customFormat="1" x14ac:dyDescent="0.35">
      <c r="A490" s="1" t="s">
        <v>220</v>
      </c>
      <c r="C490" s="1">
        <v>115</v>
      </c>
      <c r="D490" s="1" t="s">
        <v>16</v>
      </c>
    </row>
    <row r="491" spans="1:10" s="1" customFormat="1" x14ac:dyDescent="0.35">
      <c r="A491" s="1" t="s">
        <v>219</v>
      </c>
      <c r="C491" s="1">
        <v>10</v>
      </c>
      <c r="D491" s="1" t="s">
        <v>16</v>
      </c>
    </row>
    <row r="492" spans="1:10" s="1" customFormat="1" x14ac:dyDescent="0.35"/>
    <row r="493" spans="1:10" s="1" customFormat="1" x14ac:dyDescent="0.35">
      <c r="A493" s="21" t="s">
        <v>223</v>
      </c>
      <c r="B493" s="23"/>
      <c r="C493" s="23"/>
      <c r="D493" s="23"/>
      <c r="E493" s="23"/>
      <c r="F493" s="23"/>
      <c r="G493" s="23"/>
      <c r="H493" s="23"/>
      <c r="I493" s="23"/>
      <c r="J493" s="23"/>
    </row>
    <row r="494" spans="1:10" s="1" customFormat="1" x14ac:dyDescent="0.35">
      <c r="A494" s="1" t="s">
        <v>224</v>
      </c>
    </row>
    <row r="495" spans="1:10" s="1" customFormat="1" x14ac:dyDescent="0.35">
      <c r="A495" s="12" t="s">
        <v>27</v>
      </c>
      <c r="B495" s="12" t="s">
        <v>28</v>
      </c>
      <c r="C495" s="12" t="s">
        <v>20</v>
      </c>
      <c r="D495" s="12" t="s">
        <v>45</v>
      </c>
    </row>
    <row r="496" spans="1:10" s="1" customFormat="1" x14ac:dyDescent="0.35">
      <c r="A496" s="12">
        <v>7.05</v>
      </c>
      <c r="B496" s="12">
        <v>1.2</v>
      </c>
      <c r="C496" s="12">
        <v>1</v>
      </c>
      <c r="D496" s="12">
        <f>A496*B496*C496</f>
        <v>8.4599999999999991</v>
      </c>
    </row>
    <row r="497" spans="1:4" s="1" customFormat="1" x14ac:dyDescent="0.35">
      <c r="A497" s="12">
        <v>1.65</v>
      </c>
      <c r="B497" s="12">
        <v>1.2</v>
      </c>
      <c r="C497" s="12">
        <v>1</v>
      </c>
      <c r="D497" s="12">
        <f t="shared" ref="D497:D518" si="27">A497*B497*C497</f>
        <v>1.9799999999999998</v>
      </c>
    </row>
    <row r="498" spans="1:4" s="1" customFormat="1" x14ac:dyDescent="0.35">
      <c r="A498" s="12">
        <v>2.5499999999999998</v>
      </c>
      <c r="B498" s="12">
        <v>2.8</v>
      </c>
      <c r="C498" s="12">
        <v>1</v>
      </c>
      <c r="D498" s="12">
        <f t="shared" si="27"/>
        <v>7.1399999999999988</v>
      </c>
    </row>
    <row r="499" spans="1:4" s="1" customFormat="1" x14ac:dyDescent="0.35">
      <c r="A499" s="12">
        <v>1.2</v>
      </c>
      <c r="B499" s="12">
        <f>B498</f>
        <v>2.8</v>
      </c>
      <c r="C499" s="12">
        <v>2</v>
      </c>
      <c r="D499" s="12">
        <f t="shared" si="27"/>
        <v>6.72</v>
      </c>
    </row>
    <row r="500" spans="1:4" s="1" customFormat="1" x14ac:dyDescent="0.35">
      <c r="A500" s="12">
        <v>0.3</v>
      </c>
      <c r="B500" s="12">
        <f>B499</f>
        <v>2.8</v>
      </c>
      <c r="C500" s="12">
        <v>1</v>
      </c>
      <c r="D500" s="12">
        <f t="shared" si="27"/>
        <v>0.84</v>
      </c>
    </row>
    <row r="501" spans="1:4" s="1" customFormat="1" x14ac:dyDescent="0.35">
      <c r="A501" s="12">
        <v>0.85</v>
      </c>
      <c r="B501" s="12">
        <v>2.1</v>
      </c>
      <c r="C501" s="12">
        <v>4</v>
      </c>
      <c r="D501" s="12">
        <f t="shared" si="27"/>
        <v>7.14</v>
      </c>
    </row>
    <row r="502" spans="1:4" s="1" customFormat="1" x14ac:dyDescent="0.35">
      <c r="A502" s="12">
        <v>0.6</v>
      </c>
      <c r="B502" s="12">
        <v>1.5</v>
      </c>
      <c r="C502" s="12">
        <v>1</v>
      </c>
      <c r="D502" s="12">
        <f t="shared" si="27"/>
        <v>0.89999999999999991</v>
      </c>
    </row>
    <row r="503" spans="1:4" s="1" customFormat="1" x14ac:dyDescent="0.35">
      <c r="A503" s="12">
        <v>1.8</v>
      </c>
      <c r="B503" s="12">
        <v>2.8</v>
      </c>
      <c r="C503" s="12">
        <v>1</v>
      </c>
      <c r="D503" s="12">
        <f t="shared" si="27"/>
        <v>5.04</v>
      </c>
    </row>
    <row r="504" spans="1:4" s="1" customFormat="1" x14ac:dyDescent="0.35">
      <c r="A504" s="12">
        <v>3</v>
      </c>
      <c r="B504" s="12">
        <f>B503</f>
        <v>2.8</v>
      </c>
      <c r="C504" s="12">
        <v>1</v>
      </c>
      <c r="D504" s="12">
        <f t="shared" si="27"/>
        <v>8.3999999999999986</v>
      </c>
    </row>
    <row r="505" spans="1:4" s="1" customFormat="1" x14ac:dyDescent="0.35">
      <c r="A505" s="12">
        <v>2.0299999999999998</v>
      </c>
      <c r="B505" s="12">
        <f>B504</f>
        <v>2.8</v>
      </c>
      <c r="C505" s="12">
        <v>1</v>
      </c>
      <c r="D505" s="12">
        <f t="shared" si="27"/>
        <v>5.6839999999999993</v>
      </c>
    </row>
    <row r="506" spans="1:4" s="1" customFormat="1" x14ac:dyDescent="0.35">
      <c r="A506" s="12">
        <v>3.65</v>
      </c>
      <c r="B506" s="12">
        <f>B505</f>
        <v>2.8</v>
      </c>
      <c r="C506" s="12">
        <v>3</v>
      </c>
      <c r="D506" s="12">
        <f t="shared" si="27"/>
        <v>30.659999999999997</v>
      </c>
    </row>
    <row r="507" spans="1:4" s="1" customFormat="1" x14ac:dyDescent="0.35">
      <c r="A507" s="12">
        <v>1.07</v>
      </c>
      <c r="B507" s="12">
        <f>B506</f>
        <v>2.8</v>
      </c>
      <c r="C507" s="12">
        <v>1</v>
      </c>
      <c r="D507" s="12">
        <f t="shared" si="27"/>
        <v>2.996</v>
      </c>
    </row>
    <row r="508" spans="1:4" s="1" customFormat="1" x14ac:dyDescent="0.35">
      <c r="A508" s="12">
        <v>2.5</v>
      </c>
      <c r="B508" s="12">
        <f>B507</f>
        <v>2.8</v>
      </c>
      <c r="C508" s="12">
        <v>1</v>
      </c>
      <c r="D508" s="12">
        <f t="shared" si="27"/>
        <v>7</v>
      </c>
    </row>
    <row r="509" spans="1:4" s="1" customFormat="1" x14ac:dyDescent="0.35">
      <c r="A509" s="12">
        <v>2.0499999999999998</v>
      </c>
      <c r="B509" s="12">
        <f t="shared" ref="B509:B510" si="28">B508</f>
        <v>2.8</v>
      </c>
      <c r="C509" s="12">
        <v>1</v>
      </c>
      <c r="D509" s="12">
        <f t="shared" si="27"/>
        <v>5.7399999999999993</v>
      </c>
    </row>
    <row r="510" spans="1:4" s="1" customFormat="1" x14ac:dyDescent="0.35">
      <c r="A510" s="12">
        <v>1.35</v>
      </c>
      <c r="B510" s="12">
        <f t="shared" si="28"/>
        <v>2.8</v>
      </c>
      <c r="C510" s="12">
        <v>1</v>
      </c>
      <c r="D510" s="12">
        <f t="shared" si="27"/>
        <v>3.78</v>
      </c>
    </row>
    <row r="511" spans="1:4" s="1" customFormat="1" x14ac:dyDescent="0.35">
      <c r="A511" s="12">
        <v>2.4</v>
      </c>
      <c r="B511" s="12">
        <f t="shared" ref="B511:B513" si="29">B510</f>
        <v>2.8</v>
      </c>
      <c r="C511" s="12">
        <v>1</v>
      </c>
      <c r="D511" s="12">
        <f t="shared" si="27"/>
        <v>6.72</v>
      </c>
    </row>
    <row r="512" spans="1:4" s="1" customFormat="1" x14ac:dyDescent="0.35">
      <c r="A512" s="12">
        <v>5.43</v>
      </c>
      <c r="B512" s="12">
        <f t="shared" si="29"/>
        <v>2.8</v>
      </c>
      <c r="C512" s="12">
        <v>1</v>
      </c>
      <c r="D512" s="12">
        <f t="shared" si="27"/>
        <v>15.203999999999999</v>
      </c>
    </row>
    <row r="513" spans="1:4" s="1" customFormat="1" x14ac:dyDescent="0.35">
      <c r="A513" s="12">
        <v>1.69</v>
      </c>
      <c r="B513" s="12">
        <f t="shared" si="29"/>
        <v>2.8</v>
      </c>
      <c r="C513" s="12">
        <v>1</v>
      </c>
      <c r="D513" s="12">
        <f t="shared" si="27"/>
        <v>4.7319999999999993</v>
      </c>
    </row>
    <row r="514" spans="1:4" s="1" customFormat="1" x14ac:dyDescent="0.35">
      <c r="A514" s="12">
        <v>6.05</v>
      </c>
      <c r="B514" s="12">
        <f t="shared" ref="B514:B518" si="30">B513</f>
        <v>2.8</v>
      </c>
      <c r="C514" s="12">
        <v>1</v>
      </c>
      <c r="D514" s="12">
        <f t="shared" si="27"/>
        <v>16.939999999999998</v>
      </c>
    </row>
    <row r="515" spans="1:4" s="1" customFormat="1" x14ac:dyDescent="0.35">
      <c r="A515" s="12">
        <v>4.5</v>
      </c>
      <c r="B515" s="12">
        <f t="shared" si="30"/>
        <v>2.8</v>
      </c>
      <c r="C515" s="12">
        <v>1</v>
      </c>
      <c r="D515" s="12">
        <f t="shared" si="27"/>
        <v>12.6</v>
      </c>
    </row>
    <row r="516" spans="1:4" s="1" customFormat="1" x14ac:dyDescent="0.35">
      <c r="A516" s="12">
        <v>2.5</v>
      </c>
      <c r="B516" s="12">
        <f t="shared" si="30"/>
        <v>2.8</v>
      </c>
      <c r="C516" s="12">
        <v>1</v>
      </c>
      <c r="D516" s="12">
        <f t="shared" si="27"/>
        <v>7</v>
      </c>
    </row>
    <row r="517" spans="1:4" s="1" customFormat="1" x14ac:dyDescent="0.35">
      <c r="A517" s="12">
        <v>2.85</v>
      </c>
      <c r="B517" s="12">
        <f t="shared" si="30"/>
        <v>2.8</v>
      </c>
      <c r="C517" s="12">
        <v>1</v>
      </c>
      <c r="D517" s="12">
        <f t="shared" si="27"/>
        <v>7.9799999999999995</v>
      </c>
    </row>
    <row r="518" spans="1:4" s="1" customFormat="1" x14ac:dyDescent="0.35">
      <c r="A518" s="12">
        <v>2.4500000000000002</v>
      </c>
      <c r="B518" s="12">
        <f t="shared" si="30"/>
        <v>2.8</v>
      </c>
      <c r="C518" s="12">
        <v>1</v>
      </c>
      <c r="D518" s="12">
        <f t="shared" si="27"/>
        <v>6.86</v>
      </c>
    </row>
    <row r="519" spans="1:4" s="1" customFormat="1" x14ac:dyDescent="0.35">
      <c r="A519" s="225" t="s">
        <v>37</v>
      </c>
      <c r="B519" s="226"/>
      <c r="C519" s="227"/>
      <c r="D519" s="12">
        <f>SUM(D496:D518)</f>
        <v>180.51599999999996</v>
      </c>
    </row>
    <row r="520" spans="1:4" s="1" customFormat="1" x14ac:dyDescent="0.35"/>
    <row r="521" spans="1:4" s="1" customFormat="1" x14ac:dyDescent="0.35">
      <c r="A521" s="1" t="s">
        <v>230</v>
      </c>
    </row>
    <row r="522" spans="1:4" s="1" customFormat="1" x14ac:dyDescent="0.35">
      <c r="A522" s="1" t="s">
        <v>233</v>
      </c>
      <c r="B522" s="1">
        <f>D519*0.1</f>
        <v>18.051599999999997</v>
      </c>
      <c r="C522" s="1" t="s">
        <v>234</v>
      </c>
    </row>
    <row r="523" spans="1:4" s="1" customFormat="1" x14ac:dyDescent="0.35"/>
    <row r="524" spans="1:4" s="1" customFormat="1" x14ac:dyDescent="0.35">
      <c r="A524" s="1" t="s">
        <v>241</v>
      </c>
    </row>
    <row r="525" spans="1:4" s="1" customFormat="1" x14ac:dyDescent="0.35">
      <c r="A525" s="1" t="s">
        <v>232</v>
      </c>
      <c r="B525" s="1">
        <v>290</v>
      </c>
      <c r="C525" s="1" t="s">
        <v>16</v>
      </c>
    </row>
    <row r="526" spans="1:4" s="1" customFormat="1" x14ac:dyDescent="0.35"/>
    <row r="527" spans="1:4" s="1" customFormat="1" x14ac:dyDescent="0.35">
      <c r="A527" s="1" t="s">
        <v>258</v>
      </c>
    </row>
    <row r="528" spans="1:4" s="1" customFormat="1" x14ac:dyDescent="0.35">
      <c r="A528" s="24" t="s">
        <v>232</v>
      </c>
      <c r="B528" s="24">
        <v>100</v>
      </c>
      <c r="C528" s="24" t="s">
        <v>16</v>
      </c>
      <c r="D528" s="24" t="s">
        <v>259</v>
      </c>
    </row>
    <row r="529" spans="1:6" s="1" customFormat="1" x14ac:dyDescent="0.35"/>
    <row r="530" spans="1:6" s="1" customFormat="1" x14ac:dyDescent="0.35">
      <c r="A530" s="1" t="s">
        <v>231</v>
      </c>
    </row>
    <row r="531" spans="1:6" s="1" customFormat="1" x14ac:dyDescent="0.35">
      <c r="A531" s="1" t="s">
        <v>235</v>
      </c>
      <c r="B531" s="1">
        <v>20.75</v>
      </c>
      <c r="C531" s="1" t="s">
        <v>16</v>
      </c>
    </row>
    <row r="532" spans="1:6" s="1" customFormat="1" x14ac:dyDescent="0.35">
      <c r="A532" s="24" t="s">
        <v>236</v>
      </c>
      <c r="B532" s="24">
        <v>20</v>
      </c>
      <c r="C532" s="24" t="s">
        <v>16</v>
      </c>
      <c r="D532" s="24" t="s">
        <v>237</v>
      </c>
      <c r="E532" s="24"/>
      <c r="F532" s="24"/>
    </row>
    <row r="533" spans="1:6" s="1" customFormat="1" x14ac:dyDescent="0.35">
      <c r="A533" s="1" t="s">
        <v>238</v>
      </c>
      <c r="B533" s="1">
        <f>B531+B532</f>
        <v>40.75</v>
      </c>
      <c r="C533" s="1" t="s">
        <v>16</v>
      </c>
    </row>
    <row r="534" spans="1:6" s="1" customFormat="1" x14ac:dyDescent="0.35"/>
    <row r="535" spans="1:6" s="1" customFormat="1" x14ac:dyDescent="0.35">
      <c r="A535" s="2" t="s">
        <v>225</v>
      </c>
    </row>
    <row r="536" spans="1:6" s="1" customFormat="1" x14ac:dyDescent="0.35">
      <c r="A536" s="17"/>
      <c r="B536" s="12" t="s">
        <v>27</v>
      </c>
      <c r="C536" s="12" t="s">
        <v>239</v>
      </c>
      <c r="D536" s="12" t="s">
        <v>20</v>
      </c>
      <c r="E536" s="1" t="s">
        <v>466</v>
      </c>
    </row>
    <row r="537" spans="1:6" s="1" customFormat="1" x14ac:dyDescent="0.35">
      <c r="A537" s="12" t="s">
        <v>226</v>
      </c>
      <c r="B537" s="12"/>
      <c r="C537" s="12"/>
      <c r="D537" s="12">
        <v>35</v>
      </c>
      <c r="E537" s="1">
        <f>+D537*0.7*2.1</f>
        <v>51.45</v>
      </c>
    </row>
    <row r="538" spans="1:6" s="1" customFormat="1" x14ac:dyDescent="0.35">
      <c r="A538" s="12" t="s">
        <v>227</v>
      </c>
      <c r="B538" s="12">
        <f>3.75+1</f>
        <v>4.75</v>
      </c>
      <c r="C538" s="12">
        <v>0.6</v>
      </c>
      <c r="D538" s="12">
        <v>4</v>
      </c>
      <c r="E538" s="1">
        <f>+D538*B538*C538</f>
        <v>11.4</v>
      </c>
    </row>
    <row r="539" spans="1:6" s="1" customFormat="1" x14ac:dyDescent="0.35">
      <c r="A539" s="12" t="s">
        <v>227</v>
      </c>
      <c r="B539" s="12">
        <f>1.91+0.88</f>
        <v>2.79</v>
      </c>
      <c r="C539" s="12">
        <v>0.6</v>
      </c>
      <c r="D539" s="12">
        <v>2</v>
      </c>
      <c r="E539" s="1">
        <f t="shared" ref="E539:E541" si="31">+D539*B539*C539</f>
        <v>3.3479999999999999</v>
      </c>
    </row>
    <row r="540" spans="1:6" s="1" customFormat="1" x14ac:dyDescent="0.35">
      <c r="A540" s="12" t="s">
        <v>227</v>
      </c>
      <c r="B540" s="12">
        <f>3.26+2.23</f>
        <v>5.49</v>
      </c>
      <c r="C540" s="12">
        <v>0.6</v>
      </c>
      <c r="D540" s="12">
        <v>1</v>
      </c>
      <c r="E540" s="1">
        <f t="shared" si="31"/>
        <v>3.294</v>
      </c>
    </row>
    <row r="541" spans="1:6" s="1" customFormat="1" x14ac:dyDescent="0.35">
      <c r="A541" s="12" t="s">
        <v>227</v>
      </c>
      <c r="B541" s="12">
        <v>1.35</v>
      </c>
      <c r="C541" s="12">
        <v>0.6</v>
      </c>
      <c r="D541" s="12">
        <v>1</v>
      </c>
      <c r="E541" s="1">
        <f t="shared" si="31"/>
        <v>0.81</v>
      </c>
    </row>
    <row r="542" spans="1:6" s="1" customFormat="1" x14ac:dyDescent="0.35">
      <c r="A542" s="12" t="s">
        <v>177</v>
      </c>
      <c r="B542" s="12"/>
      <c r="C542" s="12"/>
      <c r="D542" s="12">
        <v>4</v>
      </c>
    </row>
    <row r="543" spans="1:6" s="1" customFormat="1" x14ac:dyDescent="0.35">
      <c r="A543" s="12" t="s">
        <v>228</v>
      </c>
      <c r="B543" s="12"/>
      <c r="C543" s="12"/>
      <c r="D543" s="12">
        <v>5</v>
      </c>
    </row>
    <row r="544" spans="1:6" s="1" customFormat="1" x14ac:dyDescent="0.35">
      <c r="A544" s="12" t="s">
        <v>229</v>
      </c>
      <c r="B544" s="12"/>
      <c r="C544" s="12"/>
      <c r="D544" s="12">
        <v>3</v>
      </c>
    </row>
    <row r="545" spans="1:10" s="1" customFormat="1" x14ac:dyDescent="0.35">
      <c r="A545" s="12" t="s">
        <v>153</v>
      </c>
      <c r="B545" s="12">
        <v>1.6</v>
      </c>
      <c r="C545" s="12">
        <v>1.8</v>
      </c>
      <c r="D545" s="12">
        <v>2</v>
      </c>
      <c r="E545" s="1">
        <f t="shared" ref="E545:E546" si="32">+D545*B545*C545</f>
        <v>5.7600000000000007</v>
      </c>
    </row>
    <row r="546" spans="1:10" s="1" customFormat="1" x14ac:dyDescent="0.35">
      <c r="A546" s="12" t="s">
        <v>153</v>
      </c>
      <c r="B546" s="12">
        <v>0.98</v>
      </c>
      <c r="C546" s="12">
        <v>1.8</v>
      </c>
      <c r="D546" s="12">
        <v>4</v>
      </c>
      <c r="E546" s="1">
        <f t="shared" si="32"/>
        <v>7.056</v>
      </c>
    </row>
    <row r="547" spans="1:10" s="1" customFormat="1" x14ac:dyDescent="0.35"/>
    <row r="548" spans="1:10" s="1" customFormat="1" x14ac:dyDescent="0.35">
      <c r="A548" s="3" t="s">
        <v>17</v>
      </c>
      <c r="B548" s="4"/>
      <c r="C548" s="4"/>
      <c r="D548" s="4"/>
      <c r="E548" s="4"/>
      <c r="F548" s="4"/>
      <c r="G548" s="4"/>
      <c r="H548" s="4"/>
    </row>
    <row r="549" spans="1:10" s="1" customFormat="1" x14ac:dyDescent="0.35">
      <c r="A549" s="3" t="s">
        <v>19</v>
      </c>
      <c r="B549" s="4"/>
      <c r="C549" s="4"/>
      <c r="D549" s="4"/>
      <c r="E549" s="4"/>
      <c r="F549" s="4"/>
      <c r="G549" s="4"/>
      <c r="H549" s="4"/>
    </row>
    <row r="550" spans="1:10" s="1" customFormat="1" ht="29" x14ac:dyDescent="0.35">
      <c r="A550" s="5" t="s">
        <v>20</v>
      </c>
      <c r="B550" s="5" t="s">
        <v>23</v>
      </c>
      <c r="C550" s="5" t="s">
        <v>24</v>
      </c>
      <c r="D550" s="5" t="s">
        <v>29</v>
      </c>
      <c r="E550" s="5" t="s">
        <v>30</v>
      </c>
      <c r="F550" s="5" t="s">
        <v>32</v>
      </c>
      <c r="G550" s="5" t="s">
        <v>31</v>
      </c>
      <c r="H550" s="4"/>
    </row>
    <row r="551" spans="1:10" s="1" customFormat="1" x14ac:dyDescent="0.35">
      <c r="A551" s="5">
        <v>24</v>
      </c>
      <c r="B551" s="5">
        <v>0.2</v>
      </c>
      <c r="C551" s="5">
        <v>3</v>
      </c>
      <c r="D551" s="5">
        <f>A551*(PI()*(B551^2)/4)*C551</f>
        <v>2.2619467105846511</v>
      </c>
      <c r="E551" s="5">
        <f>A551*(PI()*(B551^2)/4)*0.05</f>
        <v>3.7699111843077525E-2</v>
      </c>
      <c r="F551" s="5">
        <f>D551</f>
        <v>2.2619467105846511</v>
      </c>
      <c r="G551" s="5">
        <f>F551*80</f>
        <v>180.95573684677208</v>
      </c>
      <c r="H551" s="4"/>
    </row>
    <row r="552" spans="1:10" s="1" customFormat="1" x14ac:dyDescent="0.35">
      <c r="A552" s="3" t="s">
        <v>25</v>
      </c>
      <c r="B552" s="4"/>
      <c r="C552" s="4"/>
      <c r="D552" s="4"/>
      <c r="E552" s="4"/>
      <c r="F552" s="4"/>
      <c r="G552" s="4"/>
      <c r="H552" s="4"/>
    </row>
    <row r="553" spans="1:10" s="1" customFormat="1" ht="29" x14ac:dyDescent="0.35">
      <c r="A553" s="5" t="s">
        <v>20</v>
      </c>
      <c r="B553" s="5" t="s">
        <v>26</v>
      </c>
      <c r="C553" s="5" t="s">
        <v>27</v>
      </c>
      <c r="D553" s="5" t="s">
        <v>28</v>
      </c>
      <c r="E553" s="5" t="s">
        <v>29</v>
      </c>
      <c r="F553" s="5" t="s">
        <v>30</v>
      </c>
      <c r="G553" s="5" t="s">
        <v>33</v>
      </c>
      <c r="H553" s="5" t="s">
        <v>32</v>
      </c>
      <c r="I553" s="5" t="s">
        <v>31</v>
      </c>
      <c r="J553" s="5" t="s">
        <v>34</v>
      </c>
    </row>
    <row r="554" spans="1:10" s="1" customFormat="1" x14ac:dyDescent="0.35">
      <c r="A554" s="5">
        <f>A551</f>
        <v>24</v>
      </c>
      <c r="B554" s="5">
        <v>0.4</v>
      </c>
      <c r="C554" s="5">
        <v>0.4</v>
      </c>
      <c r="D554" s="5">
        <v>0.3</v>
      </c>
      <c r="E554" s="5">
        <f>A554*(B554+0.2)*(C554+0.2)*D554</f>
        <v>2.5920000000000005</v>
      </c>
      <c r="F554" s="5">
        <f>A554*B554*C554*0.05</f>
        <v>0.19200000000000006</v>
      </c>
      <c r="G554" s="5">
        <f>A554*4*B554*D554</f>
        <v>11.520000000000001</v>
      </c>
      <c r="H554" s="5">
        <f>A554*B554*C554*D554</f>
        <v>1.1520000000000001</v>
      </c>
      <c r="I554" s="5">
        <f>H554*80</f>
        <v>92.160000000000011</v>
      </c>
      <c r="J554" s="5">
        <f>E554-H554</f>
        <v>1.4400000000000004</v>
      </c>
    </row>
    <row r="555" spans="1:10" s="1" customFormat="1" x14ac:dyDescent="0.35">
      <c r="A555" s="4"/>
      <c r="B555" s="4"/>
      <c r="C555" s="4"/>
      <c r="D555" s="4"/>
      <c r="E555" s="4"/>
      <c r="F555" s="4"/>
      <c r="G555" s="4"/>
      <c r="H555" s="4"/>
    </row>
    <row r="556" spans="1:10" s="1" customFormat="1" x14ac:dyDescent="0.35">
      <c r="A556" s="228" t="s">
        <v>21</v>
      </c>
      <c r="B556" s="228"/>
      <c r="C556" s="4"/>
      <c r="D556" s="4"/>
      <c r="E556" s="4"/>
      <c r="F556" s="4"/>
      <c r="G556" s="4"/>
      <c r="H556" s="4"/>
    </row>
    <row r="557" spans="1:10" s="1" customFormat="1" x14ac:dyDescent="0.35">
      <c r="A557" s="5" t="s">
        <v>20</v>
      </c>
      <c r="B557" s="5" t="s">
        <v>22</v>
      </c>
      <c r="C557" s="5" t="s">
        <v>36</v>
      </c>
      <c r="D557" s="4"/>
      <c r="E557" s="4"/>
      <c r="F557" s="4"/>
      <c r="G557" s="4"/>
      <c r="H557" s="4"/>
    </row>
    <row r="558" spans="1:10" s="1" customFormat="1" x14ac:dyDescent="0.35">
      <c r="A558" s="5">
        <v>4</v>
      </c>
      <c r="B558" s="5">
        <v>2.5299999999999998</v>
      </c>
      <c r="C558" s="5">
        <f>B558*A558</f>
        <v>10.119999999999999</v>
      </c>
      <c r="D558" s="4"/>
      <c r="E558" s="4"/>
      <c r="F558" s="4"/>
      <c r="G558" s="4"/>
      <c r="H558" s="4"/>
    </row>
    <row r="559" spans="1:10" s="1" customFormat="1" x14ac:dyDescent="0.35">
      <c r="A559" s="5">
        <v>1</v>
      </c>
      <c r="B559" s="5">
        <v>4.34</v>
      </c>
      <c r="C559" s="5">
        <f t="shared" ref="C559:C569" si="33">B559*A559</f>
        <v>4.34</v>
      </c>
      <c r="D559" s="4"/>
      <c r="E559" s="4"/>
      <c r="F559" s="4"/>
      <c r="G559" s="4"/>
      <c r="H559" s="4"/>
    </row>
    <row r="560" spans="1:10" s="1" customFormat="1" x14ac:dyDescent="0.35">
      <c r="A560" s="5">
        <v>1</v>
      </c>
      <c r="B560" s="5">
        <v>1.95</v>
      </c>
      <c r="C560" s="5">
        <f t="shared" si="33"/>
        <v>1.95</v>
      </c>
      <c r="D560" s="4"/>
      <c r="E560" s="4"/>
      <c r="F560" s="4"/>
      <c r="G560" s="4"/>
      <c r="H560" s="4"/>
    </row>
    <row r="561" spans="1:10" s="1" customFormat="1" x14ac:dyDescent="0.35">
      <c r="A561" s="5">
        <v>2</v>
      </c>
      <c r="B561" s="5">
        <v>5.95</v>
      </c>
      <c r="C561" s="5">
        <f t="shared" si="33"/>
        <v>11.9</v>
      </c>
      <c r="D561" s="4"/>
      <c r="E561" s="4"/>
      <c r="F561" s="4"/>
      <c r="G561" s="4"/>
      <c r="H561" s="4"/>
    </row>
    <row r="562" spans="1:10" s="1" customFormat="1" x14ac:dyDescent="0.35">
      <c r="A562" s="5">
        <v>2</v>
      </c>
      <c r="B562" s="5">
        <v>3.78</v>
      </c>
      <c r="C562" s="5">
        <f t="shared" si="33"/>
        <v>7.56</v>
      </c>
      <c r="D562" s="4"/>
      <c r="E562" s="4"/>
      <c r="F562" s="4"/>
      <c r="G562" s="4"/>
      <c r="H562" s="4"/>
    </row>
    <row r="563" spans="1:10" s="1" customFormat="1" x14ac:dyDescent="0.35">
      <c r="A563" s="5">
        <v>1</v>
      </c>
      <c r="B563" s="5">
        <v>2.5499999999999998</v>
      </c>
      <c r="C563" s="5">
        <f t="shared" si="33"/>
        <v>2.5499999999999998</v>
      </c>
      <c r="D563" s="4"/>
      <c r="E563" s="4"/>
      <c r="F563" s="4"/>
      <c r="G563" s="4"/>
      <c r="H563" s="4"/>
    </row>
    <row r="564" spans="1:10" s="1" customFormat="1" x14ac:dyDescent="0.35">
      <c r="A564" s="5">
        <v>1</v>
      </c>
      <c r="B564" s="5">
        <v>3.43</v>
      </c>
      <c r="C564" s="5">
        <f t="shared" si="33"/>
        <v>3.43</v>
      </c>
      <c r="D564" s="4"/>
      <c r="E564" s="4"/>
      <c r="F564" s="4"/>
      <c r="G564" s="4"/>
      <c r="H564" s="4"/>
    </row>
    <row r="565" spans="1:10" s="1" customFormat="1" x14ac:dyDescent="0.35">
      <c r="A565" s="5">
        <v>1</v>
      </c>
      <c r="B565" s="5">
        <v>1.65</v>
      </c>
      <c r="C565" s="5">
        <f t="shared" si="33"/>
        <v>1.65</v>
      </c>
      <c r="D565" s="4"/>
      <c r="E565" s="4"/>
      <c r="F565" s="4"/>
      <c r="G565" s="4"/>
      <c r="H565" s="4"/>
    </row>
    <row r="566" spans="1:10" s="1" customFormat="1" x14ac:dyDescent="0.35">
      <c r="A566" s="5">
        <v>2</v>
      </c>
      <c r="B566" s="5">
        <v>3.9</v>
      </c>
      <c r="C566" s="5">
        <f t="shared" si="33"/>
        <v>7.8</v>
      </c>
      <c r="D566" s="4"/>
      <c r="E566" s="4"/>
      <c r="F566" s="4"/>
      <c r="G566" s="4"/>
      <c r="H566" s="4"/>
    </row>
    <row r="567" spans="1:10" s="1" customFormat="1" x14ac:dyDescent="0.35">
      <c r="A567" s="5">
        <v>1</v>
      </c>
      <c r="B567" s="5">
        <v>0.72</v>
      </c>
      <c r="C567" s="5">
        <f t="shared" si="33"/>
        <v>0.72</v>
      </c>
      <c r="D567" s="4"/>
      <c r="E567" s="4"/>
      <c r="F567" s="4"/>
      <c r="G567" s="4"/>
      <c r="H567" s="4"/>
    </row>
    <row r="568" spans="1:10" s="1" customFormat="1" x14ac:dyDescent="0.35">
      <c r="A568" s="5">
        <v>1</v>
      </c>
      <c r="B568" s="5">
        <v>8.76</v>
      </c>
      <c r="C568" s="5">
        <f t="shared" si="33"/>
        <v>8.76</v>
      </c>
      <c r="D568" s="4"/>
      <c r="E568" s="4"/>
      <c r="F568" s="4"/>
      <c r="G568" s="4"/>
      <c r="H568" s="4"/>
    </row>
    <row r="569" spans="1:10" s="1" customFormat="1" x14ac:dyDescent="0.35">
      <c r="A569" s="5">
        <v>1</v>
      </c>
      <c r="B569" s="5">
        <v>3.17</v>
      </c>
      <c r="C569" s="5">
        <f t="shared" si="33"/>
        <v>3.17</v>
      </c>
      <c r="D569" s="4"/>
      <c r="E569" s="4"/>
      <c r="F569" s="4"/>
      <c r="G569" s="4"/>
      <c r="H569" s="4"/>
    </row>
    <row r="570" spans="1:10" x14ac:dyDescent="0.35">
      <c r="A570" s="218" t="s">
        <v>37</v>
      </c>
      <c r="B570" s="220"/>
      <c r="C570" s="5">
        <f>SUM(C558:C569)</f>
        <v>63.949999999999996</v>
      </c>
    </row>
    <row r="571" spans="1:10" x14ac:dyDescent="0.35">
      <c r="A571" s="223" t="s">
        <v>38</v>
      </c>
      <c r="B571" s="223"/>
    </row>
    <row r="572" spans="1:10" ht="29" x14ac:dyDescent="0.35">
      <c r="A572" s="5" t="s">
        <v>20</v>
      </c>
      <c r="B572" s="5" t="s">
        <v>26</v>
      </c>
      <c r="C572" s="5" t="s">
        <v>27</v>
      </c>
      <c r="D572" s="5" t="s">
        <v>28</v>
      </c>
      <c r="E572" s="5" t="s">
        <v>29</v>
      </c>
      <c r="F572" s="5" t="s">
        <v>30</v>
      </c>
      <c r="G572" s="5" t="s">
        <v>33</v>
      </c>
      <c r="H572" s="5" t="s">
        <v>32</v>
      </c>
      <c r="I572" s="5" t="s">
        <v>31</v>
      </c>
      <c r="J572" s="5" t="s">
        <v>34</v>
      </c>
    </row>
    <row r="573" spans="1:10" x14ac:dyDescent="0.35">
      <c r="A573" s="5">
        <v>1</v>
      </c>
      <c r="B573" s="5">
        <v>0.3</v>
      </c>
      <c r="C573" s="5">
        <f>C570</f>
        <v>63.949999999999996</v>
      </c>
      <c r="D573" s="5">
        <v>0.3</v>
      </c>
      <c r="E573" s="5">
        <f>A573*(B573+0.2)*(C573+0.2)*D573</f>
        <v>9.6224999999999987</v>
      </c>
      <c r="F573" s="5">
        <f>A573*B573*C573*0.05</f>
        <v>0.95924999999999994</v>
      </c>
      <c r="G573" s="5">
        <f>A573*2*C573*D573</f>
        <v>38.369999999999997</v>
      </c>
      <c r="H573" s="5">
        <f>A573*B573*C573*D573</f>
        <v>5.7554999999999996</v>
      </c>
      <c r="I573" s="5">
        <f>H573*80</f>
        <v>460.43999999999994</v>
      </c>
      <c r="J573" s="5">
        <f>E573-H573</f>
        <v>3.8669999999999991</v>
      </c>
    </row>
    <row r="575" spans="1:10" x14ac:dyDescent="0.35">
      <c r="A575" s="228" t="s">
        <v>97</v>
      </c>
      <c r="B575" s="228"/>
    </row>
    <row r="576" spans="1:10" x14ac:dyDescent="0.35">
      <c r="A576" s="15"/>
      <c r="B576" s="15" t="s">
        <v>45</v>
      </c>
    </row>
    <row r="577" spans="1:7" x14ac:dyDescent="0.35">
      <c r="A577" s="5" t="s">
        <v>25</v>
      </c>
      <c r="B577" s="5">
        <f>C554*A554*D554*2+A554*2*B554*D554</f>
        <v>11.520000000000001</v>
      </c>
    </row>
    <row r="578" spans="1:7" x14ac:dyDescent="0.35">
      <c r="A578" s="5" t="s">
        <v>98</v>
      </c>
      <c r="B578" s="5">
        <f>C573*D573*2+B573*C573</f>
        <v>57.554999999999993</v>
      </c>
    </row>
    <row r="579" spans="1:7" x14ac:dyDescent="0.35">
      <c r="A579" s="5" t="s">
        <v>37</v>
      </c>
      <c r="B579" s="5">
        <f>B577+B578</f>
        <v>69.074999999999989</v>
      </c>
    </row>
    <row r="580" spans="1:7" x14ac:dyDescent="0.35">
      <c r="A580" s="3" t="s">
        <v>35</v>
      </c>
    </row>
    <row r="581" spans="1:7" ht="29" x14ac:dyDescent="0.35">
      <c r="A581" s="5" t="s">
        <v>20</v>
      </c>
      <c r="B581" s="5" t="s">
        <v>26</v>
      </c>
      <c r="C581" s="5" t="s">
        <v>27</v>
      </c>
      <c r="D581" s="5" t="s">
        <v>28</v>
      </c>
      <c r="E581" s="5" t="s">
        <v>33</v>
      </c>
      <c r="F581" s="5" t="s">
        <v>32</v>
      </c>
      <c r="G581" s="5" t="s">
        <v>31</v>
      </c>
    </row>
    <row r="582" spans="1:7" x14ac:dyDescent="0.35">
      <c r="A582" s="5">
        <f>A551</f>
        <v>24</v>
      </c>
      <c r="B582" s="5">
        <v>0.2</v>
      </c>
      <c r="C582" s="5">
        <v>0.2</v>
      </c>
      <c r="D582" s="5">
        <v>3</v>
      </c>
      <c r="E582" s="5">
        <f>A582*(2*B582*D582+2*C582*D582)</f>
        <v>57.600000000000009</v>
      </c>
      <c r="F582" s="5">
        <f>A582*B582*C582*D582</f>
        <v>2.8800000000000008</v>
      </c>
      <c r="G582" s="5">
        <f>F582*80</f>
        <v>230.40000000000006</v>
      </c>
    </row>
    <row r="583" spans="1:7" x14ac:dyDescent="0.35">
      <c r="A583" s="223" t="s">
        <v>39</v>
      </c>
      <c r="B583" s="223"/>
    </row>
    <row r="584" spans="1:7" ht="29" x14ac:dyDescent="0.35">
      <c r="A584" s="5" t="s">
        <v>20</v>
      </c>
      <c r="B584" s="5" t="s">
        <v>26</v>
      </c>
      <c r="C584" s="5" t="s">
        <v>27</v>
      </c>
      <c r="D584" s="5" t="s">
        <v>28</v>
      </c>
      <c r="E584" s="5" t="s">
        <v>33</v>
      </c>
      <c r="F584" s="5" t="s">
        <v>32</v>
      </c>
      <c r="G584" s="5" t="s">
        <v>31</v>
      </c>
    </row>
    <row r="585" spans="1:7" x14ac:dyDescent="0.35">
      <c r="A585" s="5">
        <v>1</v>
      </c>
      <c r="B585" s="5">
        <v>0.2</v>
      </c>
      <c r="C585" s="5">
        <f>C573</f>
        <v>63.949999999999996</v>
      </c>
      <c r="D585" s="5">
        <v>0.2</v>
      </c>
      <c r="E585" s="5">
        <f>A585*(2*C585*D585+1*B585*C585)</f>
        <v>38.369999999999997</v>
      </c>
      <c r="F585" s="5">
        <f>A585*B585*C585*D585</f>
        <v>2.5579999999999998</v>
      </c>
      <c r="G585" s="5">
        <f>F585*80</f>
        <v>204.64</v>
      </c>
    </row>
    <row r="586" spans="1:7" x14ac:dyDescent="0.35">
      <c r="A586" s="3" t="s">
        <v>40</v>
      </c>
    </row>
    <row r="587" spans="1:7" x14ac:dyDescent="0.35">
      <c r="A587" s="1" t="s">
        <v>43</v>
      </c>
    </row>
    <row r="588" spans="1:7" x14ac:dyDescent="0.35">
      <c r="A588" s="5" t="s">
        <v>44</v>
      </c>
      <c r="B588" s="5" t="s">
        <v>22</v>
      </c>
      <c r="C588" s="5" t="s">
        <v>45</v>
      </c>
    </row>
    <row r="589" spans="1:7" x14ac:dyDescent="0.35">
      <c r="A589" s="5">
        <v>2.5299999999999998</v>
      </c>
      <c r="B589" s="5">
        <v>4.34</v>
      </c>
      <c r="C589" s="5">
        <f>B589*A589</f>
        <v>10.980199999999998</v>
      </c>
      <c r="E589" s="4" t="s">
        <v>46</v>
      </c>
      <c r="F589" s="4">
        <f>C589+C590+C591+C592+C593+C594+C595</f>
        <v>58.507599999999996</v>
      </c>
      <c r="G589" s="4" t="s">
        <v>16</v>
      </c>
    </row>
    <row r="590" spans="1:7" x14ac:dyDescent="0.35">
      <c r="A590" s="5">
        <v>2.5299999999999998</v>
      </c>
      <c r="B590" s="5">
        <v>1.95</v>
      </c>
      <c r="C590" s="5">
        <f t="shared" ref="C590:C597" si="34">B590*A590</f>
        <v>4.9334999999999996</v>
      </c>
      <c r="E590" s="4" t="s">
        <v>47</v>
      </c>
      <c r="F590" s="4">
        <f>C598-F589</f>
        <v>27.728999999999985</v>
      </c>
      <c r="G590" s="4" t="s">
        <v>16</v>
      </c>
    </row>
    <row r="591" spans="1:7" x14ac:dyDescent="0.35">
      <c r="A591" s="5">
        <v>1.87</v>
      </c>
      <c r="B591" s="5">
        <v>3.95</v>
      </c>
      <c r="C591" s="5">
        <f t="shared" si="34"/>
        <v>7.3865000000000007</v>
      </c>
    </row>
    <row r="592" spans="1:7" x14ac:dyDescent="0.35">
      <c r="A592" s="5">
        <v>2.66</v>
      </c>
      <c r="B592" s="5">
        <v>3.95</v>
      </c>
      <c r="C592" s="5">
        <f t="shared" si="34"/>
        <v>10.507000000000001</v>
      </c>
    </row>
    <row r="593" spans="1:3" x14ac:dyDescent="0.35">
      <c r="A593" s="5">
        <v>1.35</v>
      </c>
      <c r="B593" s="5">
        <v>3.2</v>
      </c>
      <c r="C593" s="5">
        <f t="shared" si="34"/>
        <v>4.32</v>
      </c>
    </row>
    <row r="594" spans="1:3" x14ac:dyDescent="0.35">
      <c r="A594" s="5">
        <v>2.63</v>
      </c>
      <c r="B594" s="5">
        <f>3.43+1.65</f>
        <v>5.08</v>
      </c>
      <c r="C594" s="5">
        <f t="shared" si="34"/>
        <v>13.3604</v>
      </c>
    </row>
    <row r="595" spans="1:3" x14ac:dyDescent="0.35">
      <c r="A595" s="5">
        <v>1.8</v>
      </c>
      <c r="B595" s="5">
        <v>3.9</v>
      </c>
      <c r="C595" s="5">
        <f t="shared" si="34"/>
        <v>7.02</v>
      </c>
    </row>
    <row r="596" spans="1:3" x14ac:dyDescent="0.35">
      <c r="A596" s="5">
        <v>3.51</v>
      </c>
      <c r="B596" s="5">
        <v>3.9</v>
      </c>
      <c r="C596" s="5">
        <f t="shared" si="34"/>
        <v>13.688999999999998</v>
      </c>
    </row>
    <row r="597" spans="1:3" x14ac:dyDescent="0.35">
      <c r="A597" s="5">
        <v>3.6</v>
      </c>
      <c r="B597" s="5">
        <v>3.9</v>
      </c>
      <c r="C597" s="5">
        <f t="shared" si="34"/>
        <v>14.04</v>
      </c>
    </row>
    <row r="598" spans="1:3" x14ac:dyDescent="0.35">
      <c r="A598" s="218" t="s">
        <v>37</v>
      </c>
      <c r="B598" s="220"/>
      <c r="C598" s="5">
        <f>SUM(C589:C597)</f>
        <v>86.236599999999981</v>
      </c>
    </row>
    <row r="599" spans="1:3" x14ac:dyDescent="0.35">
      <c r="A599" s="9" t="s">
        <v>48</v>
      </c>
      <c r="B599" s="7"/>
    </row>
    <row r="600" spans="1:3" x14ac:dyDescent="0.35">
      <c r="A600" s="6" t="s">
        <v>49</v>
      </c>
      <c r="B600" s="6" t="s">
        <v>28</v>
      </c>
      <c r="C600" s="5" t="s">
        <v>50</v>
      </c>
    </row>
    <row r="601" spans="1:3" x14ac:dyDescent="0.35">
      <c r="A601" s="6">
        <f>C598</f>
        <v>86.236599999999981</v>
      </c>
      <c r="B601" s="6">
        <v>3</v>
      </c>
      <c r="C601" s="5">
        <f>B601*A601</f>
        <v>258.70979999999997</v>
      </c>
    </row>
    <row r="603" spans="1:3" x14ac:dyDescent="0.35">
      <c r="A603" s="3" t="s">
        <v>53</v>
      </c>
    </row>
    <row r="604" spans="1:3" x14ac:dyDescent="0.35">
      <c r="A604" s="5" t="s">
        <v>27</v>
      </c>
      <c r="B604" s="5" t="s">
        <v>20</v>
      </c>
      <c r="C604" s="5" t="s">
        <v>54</v>
      </c>
    </row>
    <row r="605" spans="1:3" x14ac:dyDescent="0.35">
      <c r="A605" s="5">
        <v>2.5299999999999998</v>
      </c>
      <c r="B605" s="5">
        <v>4</v>
      </c>
      <c r="C605" s="5">
        <f>B605*A605</f>
        <v>10.119999999999999</v>
      </c>
    </row>
    <row r="606" spans="1:3" x14ac:dyDescent="0.35">
      <c r="A606" s="5">
        <v>4.34</v>
      </c>
      <c r="B606" s="5">
        <v>1</v>
      </c>
      <c r="C606" s="5">
        <f t="shared" ref="C606:C615" si="35">B606*A606</f>
        <v>4.34</v>
      </c>
    </row>
    <row r="607" spans="1:3" x14ac:dyDescent="0.35">
      <c r="A607" s="5">
        <v>1.95</v>
      </c>
      <c r="B607" s="5">
        <v>1</v>
      </c>
      <c r="C607" s="5">
        <f t="shared" si="35"/>
        <v>1.95</v>
      </c>
    </row>
    <row r="608" spans="1:3" x14ac:dyDescent="0.35">
      <c r="A608" s="5">
        <v>3</v>
      </c>
      <c r="B608" s="5">
        <v>1</v>
      </c>
      <c r="C608" s="5">
        <f t="shared" si="35"/>
        <v>3</v>
      </c>
    </row>
    <row r="609" spans="1:3" x14ac:dyDescent="0.35">
      <c r="A609" s="5">
        <v>1.8</v>
      </c>
      <c r="B609" s="5">
        <v>1</v>
      </c>
      <c r="C609" s="5">
        <f t="shared" si="35"/>
        <v>1.8</v>
      </c>
    </row>
    <row r="610" spans="1:3" x14ac:dyDescent="0.35">
      <c r="A610" s="5">
        <v>2.74</v>
      </c>
      <c r="B610" s="5">
        <v>1</v>
      </c>
      <c r="C610" s="5">
        <f t="shared" si="35"/>
        <v>2.74</v>
      </c>
    </row>
    <row r="611" spans="1:3" x14ac:dyDescent="0.35">
      <c r="A611" s="5">
        <v>1.2</v>
      </c>
      <c r="B611" s="5">
        <v>2</v>
      </c>
      <c r="C611" s="5">
        <f t="shared" si="35"/>
        <v>2.4</v>
      </c>
    </row>
    <row r="612" spans="1:3" x14ac:dyDescent="0.35">
      <c r="A612" s="5">
        <v>0.6</v>
      </c>
      <c r="B612" s="5">
        <v>1</v>
      </c>
      <c r="C612" s="5">
        <f t="shared" si="35"/>
        <v>0.6</v>
      </c>
    </row>
    <row r="613" spans="1:3" x14ac:dyDescent="0.35">
      <c r="A613" s="5">
        <v>3.75</v>
      </c>
      <c r="B613" s="5">
        <v>1</v>
      </c>
      <c r="C613" s="5">
        <f t="shared" si="35"/>
        <v>3.75</v>
      </c>
    </row>
    <row r="614" spans="1:3" x14ac:dyDescent="0.35">
      <c r="A614" s="5">
        <v>2.0499999999999998</v>
      </c>
      <c r="B614" s="5">
        <v>1</v>
      </c>
      <c r="C614" s="5">
        <f t="shared" si="35"/>
        <v>2.0499999999999998</v>
      </c>
    </row>
    <row r="615" spans="1:3" x14ac:dyDescent="0.35">
      <c r="A615" s="5">
        <v>1.65</v>
      </c>
      <c r="B615" s="5">
        <v>3</v>
      </c>
      <c r="C615" s="5">
        <f t="shared" si="35"/>
        <v>4.9499999999999993</v>
      </c>
    </row>
    <row r="616" spans="1:3" x14ac:dyDescent="0.35">
      <c r="A616" s="5">
        <v>3.08</v>
      </c>
      <c r="B616" s="5">
        <v>1</v>
      </c>
      <c r="C616" s="5">
        <f t="shared" ref="C616:C617" si="36">B616*A616</f>
        <v>3.08</v>
      </c>
    </row>
    <row r="617" spans="1:3" x14ac:dyDescent="0.35">
      <c r="A617" s="5">
        <v>1.5</v>
      </c>
      <c r="B617" s="5">
        <v>1</v>
      </c>
      <c r="C617" s="5">
        <f t="shared" si="36"/>
        <v>1.5</v>
      </c>
    </row>
    <row r="618" spans="1:3" x14ac:dyDescent="0.35">
      <c r="A618" s="5">
        <v>3.72</v>
      </c>
      <c r="B618" s="5">
        <v>2</v>
      </c>
      <c r="C618" s="5">
        <f>B618*A618</f>
        <v>7.44</v>
      </c>
    </row>
    <row r="619" spans="1:3" x14ac:dyDescent="0.35">
      <c r="A619" s="5">
        <v>2.1800000000000002</v>
      </c>
      <c r="B619" s="5">
        <v>1</v>
      </c>
      <c r="C619" s="5">
        <f t="shared" ref="C619:C626" si="37">B619*A619</f>
        <v>2.1800000000000002</v>
      </c>
    </row>
    <row r="620" spans="1:3" x14ac:dyDescent="0.35">
      <c r="A620" s="5">
        <v>2.06</v>
      </c>
      <c r="B620" s="5">
        <v>1</v>
      </c>
      <c r="C620" s="5">
        <f t="shared" si="37"/>
        <v>2.06</v>
      </c>
    </row>
    <row r="621" spans="1:3" x14ac:dyDescent="0.35">
      <c r="A621" s="5">
        <v>9.9600000000000009</v>
      </c>
      <c r="B621" s="5">
        <v>1</v>
      </c>
      <c r="C621" s="5">
        <f t="shared" si="37"/>
        <v>9.9600000000000009</v>
      </c>
    </row>
    <row r="622" spans="1:3" x14ac:dyDescent="0.35">
      <c r="A622" s="5">
        <v>0.72</v>
      </c>
      <c r="B622" s="5">
        <v>1</v>
      </c>
      <c r="C622" s="5">
        <f t="shared" si="37"/>
        <v>0.72</v>
      </c>
    </row>
    <row r="623" spans="1:3" x14ac:dyDescent="0.35">
      <c r="A623" s="5">
        <v>3.43</v>
      </c>
      <c r="B623" s="5">
        <v>1</v>
      </c>
      <c r="C623" s="5">
        <f t="shared" si="37"/>
        <v>3.43</v>
      </c>
    </row>
    <row r="624" spans="1:3" x14ac:dyDescent="0.35">
      <c r="A624" s="5">
        <v>3.9</v>
      </c>
      <c r="B624" s="5">
        <v>3</v>
      </c>
      <c r="C624" s="5">
        <f t="shared" si="37"/>
        <v>11.7</v>
      </c>
    </row>
    <row r="625" spans="1:7" x14ac:dyDescent="0.35">
      <c r="A625" s="5">
        <v>5.65</v>
      </c>
      <c r="B625" s="5">
        <v>1</v>
      </c>
      <c r="C625" s="5">
        <f t="shared" si="37"/>
        <v>5.65</v>
      </c>
    </row>
    <row r="626" spans="1:7" x14ac:dyDescent="0.35">
      <c r="A626" s="5">
        <v>3.95</v>
      </c>
      <c r="B626" s="5">
        <v>2</v>
      </c>
      <c r="C626" s="5">
        <f t="shared" si="37"/>
        <v>7.9</v>
      </c>
    </row>
    <row r="627" spans="1:7" x14ac:dyDescent="0.35">
      <c r="A627" s="5">
        <v>0.8</v>
      </c>
      <c r="B627" s="5">
        <v>9</v>
      </c>
      <c r="C627" s="5">
        <f>B627*A627</f>
        <v>7.2</v>
      </c>
      <c r="D627" s="4" t="s">
        <v>240</v>
      </c>
    </row>
    <row r="628" spans="1:7" x14ac:dyDescent="0.35">
      <c r="A628" s="217" t="s">
        <v>37</v>
      </c>
      <c r="B628" s="217"/>
      <c r="C628" s="5">
        <f>SUM(C605:C627)</f>
        <v>100.52000000000002</v>
      </c>
    </row>
    <row r="630" spans="1:7" x14ac:dyDescent="0.35">
      <c r="A630" s="4" t="s">
        <v>55</v>
      </c>
    </row>
    <row r="631" spans="1:7" x14ac:dyDescent="0.35">
      <c r="A631" s="5" t="s">
        <v>27</v>
      </c>
      <c r="B631" s="5" t="s">
        <v>28</v>
      </c>
      <c r="C631" s="5" t="s">
        <v>45</v>
      </c>
    </row>
    <row r="632" spans="1:7" x14ac:dyDescent="0.35">
      <c r="A632" s="5">
        <f>C628-A633</f>
        <v>93.320000000000022</v>
      </c>
      <c r="B632" s="5">
        <v>2.8</v>
      </c>
      <c r="C632" s="5">
        <f>B632*A632</f>
        <v>261.29600000000005</v>
      </c>
    </row>
    <row r="633" spans="1:7" x14ac:dyDescent="0.35">
      <c r="A633" s="5">
        <f>C627</f>
        <v>7.2</v>
      </c>
      <c r="B633" s="5">
        <v>2.1</v>
      </c>
      <c r="C633" s="5">
        <f>B633*A633</f>
        <v>15.120000000000001</v>
      </c>
    </row>
    <row r="634" spans="1:7" x14ac:dyDescent="0.35">
      <c r="A634" s="217" t="s">
        <v>37</v>
      </c>
      <c r="B634" s="217"/>
      <c r="C634" s="5">
        <f>C633+C632</f>
        <v>276.41600000000005</v>
      </c>
    </row>
    <row r="638" spans="1:7" x14ac:dyDescent="0.35">
      <c r="A638" s="2" t="s">
        <v>73</v>
      </c>
      <c r="B638" s="1"/>
      <c r="C638" s="1"/>
      <c r="D638" s="1"/>
      <c r="E638" s="1"/>
      <c r="F638" s="1"/>
      <c r="G638" s="1"/>
    </row>
    <row r="639" spans="1:7" ht="29" x14ac:dyDescent="0.35">
      <c r="A639" s="5" t="s">
        <v>72</v>
      </c>
      <c r="B639" s="5" t="s">
        <v>58</v>
      </c>
      <c r="C639" s="5"/>
      <c r="D639" s="5"/>
      <c r="E639" s="5" t="s">
        <v>36</v>
      </c>
      <c r="F639" s="5" t="s">
        <v>28</v>
      </c>
      <c r="G639" s="5" t="s">
        <v>49</v>
      </c>
    </row>
    <row r="640" spans="1:7" ht="29" x14ac:dyDescent="0.35">
      <c r="A640" s="5" t="s">
        <v>242</v>
      </c>
      <c r="B640" s="5" t="s">
        <v>59</v>
      </c>
      <c r="C640" s="5">
        <v>1.75</v>
      </c>
      <c r="D640" s="5">
        <v>3.65</v>
      </c>
      <c r="E640" s="5">
        <f>C640*2+D640*2</f>
        <v>10.8</v>
      </c>
      <c r="F640" s="5">
        <v>2.8</v>
      </c>
      <c r="G640" s="5">
        <f>F640*E640</f>
        <v>30.24</v>
      </c>
    </row>
    <row r="641" spans="1:7" x14ac:dyDescent="0.35">
      <c r="A641" s="5" t="s">
        <v>243</v>
      </c>
      <c r="B641" s="5" t="s">
        <v>1</v>
      </c>
      <c r="C641" s="5">
        <v>1.59</v>
      </c>
      <c r="D641" s="5">
        <v>3.65</v>
      </c>
      <c r="E641" s="5">
        <f t="shared" ref="E641:E650" si="38">C641*2+D641*2</f>
        <v>10.48</v>
      </c>
      <c r="F641" s="5">
        <f>F640</f>
        <v>2.8</v>
      </c>
      <c r="G641" s="5">
        <f t="shared" ref="G641:G650" si="39">F641*E641</f>
        <v>29.343999999999998</v>
      </c>
    </row>
    <row r="642" spans="1:7" x14ac:dyDescent="0.35">
      <c r="A642" s="5" t="s">
        <v>244</v>
      </c>
      <c r="B642" s="5" t="s">
        <v>1</v>
      </c>
      <c r="C642" s="5">
        <v>1.59</v>
      </c>
      <c r="D642" s="5">
        <v>3.65</v>
      </c>
      <c r="E642" s="5">
        <f t="shared" si="38"/>
        <v>10.48</v>
      </c>
      <c r="F642" s="5">
        <f>F641</f>
        <v>2.8</v>
      </c>
      <c r="G642" s="5">
        <f t="shared" si="39"/>
        <v>29.343999999999998</v>
      </c>
    </row>
    <row r="643" spans="1:7" ht="29" x14ac:dyDescent="0.35">
      <c r="A643" s="5" t="s">
        <v>65</v>
      </c>
      <c r="B643" s="5" t="s">
        <v>61</v>
      </c>
      <c r="C643" s="5">
        <v>2.1</v>
      </c>
      <c r="D643" s="5">
        <v>1.7</v>
      </c>
      <c r="E643" s="5">
        <f t="shared" si="38"/>
        <v>7.6</v>
      </c>
      <c r="F643" s="5">
        <v>1.8</v>
      </c>
      <c r="G643" s="5">
        <f t="shared" si="39"/>
        <v>13.68</v>
      </c>
    </row>
    <row r="644" spans="1:7" x14ac:dyDescent="0.35">
      <c r="A644" s="5" t="s">
        <v>245</v>
      </c>
      <c r="B644" s="5" t="s">
        <v>64</v>
      </c>
      <c r="C644" s="5">
        <v>2.5</v>
      </c>
      <c r="D644" s="5">
        <v>2.67</v>
      </c>
      <c r="E644" s="5">
        <f t="shared" si="38"/>
        <v>10.34</v>
      </c>
      <c r="F644" s="5">
        <f>F643</f>
        <v>1.8</v>
      </c>
      <c r="G644" s="5">
        <f t="shared" si="39"/>
        <v>18.612000000000002</v>
      </c>
    </row>
    <row r="645" spans="1:7" x14ac:dyDescent="0.35">
      <c r="A645" s="5" t="s">
        <v>246</v>
      </c>
      <c r="B645" s="4" t="s">
        <v>64</v>
      </c>
      <c r="C645" s="5">
        <v>2.5</v>
      </c>
      <c r="D645" s="5">
        <v>2.67</v>
      </c>
      <c r="E645" s="5">
        <f t="shared" si="38"/>
        <v>10.34</v>
      </c>
      <c r="F645" s="5">
        <v>1.8</v>
      </c>
      <c r="G645" s="5">
        <f t="shared" si="39"/>
        <v>18.612000000000002</v>
      </c>
    </row>
    <row r="646" spans="1:7" x14ac:dyDescent="0.35">
      <c r="A646" s="5" t="s">
        <v>247</v>
      </c>
      <c r="B646" s="5" t="s">
        <v>1</v>
      </c>
      <c r="C646" s="5">
        <v>1.85</v>
      </c>
      <c r="D646" s="5">
        <v>2.5499999999999998</v>
      </c>
      <c r="E646" s="5">
        <f t="shared" si="38"/>
        <v>8.8000000000000007</v>
      </c>
      <c r="F646" s="5">
        <f>F642</f>
        <v>2.8</v>
      </c>
      <c r="G646" s="5">
        <f t="shared" si="39"/>
        <v>24.64</v>
      </c>
    </row>
    <row r="647" spans="1:7" x14ac:dyDescent="0.35">
      <c r="A647" s="5" t="s">
        <v>248</v>
      </c>
      <c r="B647" s="5" t="s">
        <v>250</v>
      </c>
      <c r="C647" s="5">
        <v>2</v>
      </c>
      <c r="D647" s="5">
        <v>1.2</v>
      </c>
      <c r="E647" s="5">
        <f t="shared" si="38"/>
        <v>6.4</v>
      </c>
      <c r="F647" s="5">
        <f>F646</f>
        <v>2.8</v>
      </c>
      <c r="G647" s="5">
        <f t="shared" si="39"/>
        <v>17.919999999999998</v>
      </c>
    </row>
    <row r="648" spans="1:7" x14ac:dyDescent="0.35">
      <c r="A648" s="5" t="s">
        <v>249</v>
      </c>
      <c r="B648" s="5" t="s">
        <v>1</v>
      </c>
      <c r="C648" s="5">
        <v>2</v>
      </c>
      <c r="D648" s="5">
        <v>1.2</v>
      </c>
      <c r="E648" s="5">
        <f t="shared" si="38"/>
        <v>6.4</v>
      </c>
      <c r="F648" s="5">
        <f>F647</f>
        <v>2.8</v>
      </c>
      <c r="G648" s="5">
        <f t="shared" si="39"/>
        <v>17.919999999999998</v>
      </c>
    </row>
    <row r="649" spans="1:7" x14ac:dyDescent="0.35">
      <c r="A649" s="5" t="s">
        <v>251</v>
      </c>
      <c r="B649" s="5" t="s">
        <v>64</v>
      </c>
      <c r="C649" s="5">
        <v>3</v>
      </c>
      <c r="D649" s="5">
        <v>2.25</v>
      </c>
      <c r="E649" s="5">
        <f t="shared" si="38"/>
        <v>10.5</v>
      </c>
      <c r="F649" s="5">
        <f>F645</f>
        <v>1.8</v>
      </c>
      <c r="G649" s="5">
        <f t="shared" si="39"/>
        <v>18.900000000000002</v>
      </c>
    </row>
    <row r="650" spans="1:7" x14ac:dyDescent="0.35">
      <c r="A650" s="5" t="s">
        <v>252</v>
      </c>
      <c r="B650" s="5" t="s">
        <v>64</v>
      </c>
      <c r="C650" s="5">
        <v>3</v>
      </c>
      <c r="D650" s="5">
        <v>3</v>
      </c>
      <c r="E650" s="5">
        <f t="shared" si="38"/>
        <v>12</v>
      </c>
      <c r="F650" s="5">
        <f>F649</f>
        <v>1.8</v>
      </c>
      <c r="G650" s="5">
        <f t="shared" si="39"/>
        <v>21.6</v>
      </c>
    </row>
    <row r="651" spans="1:7" x14ac:dyDescent="0.35">
      <c r="A651" s="5" t="s">
        <v>253</v>
      </c>
      <c r="B651" s="5" t="s">
        <v>68</v>
      </c>
      <c r="C651" s="5">
        <v>2.5499999999999998</v>
      </c>
      <c r="D651" s="5">
        <v>3.75</v>
      </c>
      <c r="E651" s="5">
        <f t="shared" ref="E651:E655" si="40">C651*2+D651*2</f>
        <v>12.6</v>
      </c>
      <c r="F651" s="5">
        <f t="shared" ref="F651" si="41">F650</f>
        <v>1.8</v>
      </c>
      <c r="G651" s="5">
        <f t="shared" ref="G651:G655" si="42">F651*E651</f>
        <v>22.68</v>
      </c>
    </row>
    <row r="652" spans="1:7" x14ac:dyDescent="0.35">
      <c r="A652" s="5" t="s">
        <v>254</v>
      </c>
      <c r="B652" s="5" t="s">
        <v>64</v>
      </c>
      <c r="C652" s="5">
        <v>1.8</v>
      </c>
      <c r="D652" s="5">
        <v>3.75</v>
      </c>
      <c r="E652" s="5">
        <f t="shared" si="40"/>
        <v>11.1</v>
      </c>
      <c r="F652" s="5">
        <f>F651</f>
        <v>1.8</v>
      </c>
      <c r="G652" s="5">
        <f t="shared" si="42"/>
        <v>19.98</v>
      </c>
    </row>
    <row r="653" spans="1:7" ht="29" x14ac:dyDescent="0.35">
      <c r="A653" s="5" t="s">
        <v>255</v>
      </c>
      <c r="B653" s="5" t="s">
        <v>64</v>
      </c>
      <c r="C653" s="5">
        <v>6.3</v>
      </c>
      <c r="D653" s="5">
        <v>3.4</v>
      </c>
      <c r="E653" s="5">
        <f t="shared" si="40"/>
        <v>19.399999999999999</v>
      </c>
      <c r="F653" s="5">
        <f t="shared" ref="F653:F655" si="43">F652</f>
        <v>1.8</v>
      </c>
      <c r="G653" s="5">
        <f t="shared" si="42"/>
        <v>34.92</v>
      </c>
    </row>
    <row r="654" spans="1:7" x14ac:dyDescent="0.35">
      <c r="A654" s="5" t="s">
        <v>256</v>
      </c>
      <c r="B654" s="5" t="s">
        <v>64</v>
      </c>
      <c r="C654" s="5">
        <v>3.75</v>
      </c>
      <c r="D654" s="5">
        <v>1.57</v>
      </c>
      <c r="E654" s="5">
        <f t="shared" si="40"/>
        <v>10.64</v>
      </c>
      <c r="F654" s="5">
        <f t="shared" si="43"/>
        <v>1.8</v>
      </c>
      <c r="G654" s="5">
        <f t="shared" si="42"/>
        <v>19.152000000000001</v>
      </c>
    </row>
    <row r="655" spans="1:7" ht="29" x14ac:dyDescent="0.35">
      <c r="A655" s="5" t="s">
        <v>257</v>
      </c>
      <c r="B655" s="5" t="s">
        <v>64</v>
      </c>
      <c r="C655" s="5">
        <v>3.75</v>
      </c>
      <c r="D655" s="5">
        <v>1.57</v>
      </c>
      <c r="E655" s="5">
        <f t="shared" si="40"/>
        <v>10.64</v>
      </c>
      <c r="F655" s="5">
        <f t="shared" si="43"/>
        <v>1.8</v>
      </c>
      <c r="G655" s="5">
        <f t="shared" si="42"/>
        <v>19.152000000000001</v>
      </c>
    </row>
    <row r="656" spans="1:7" x14ac:dyDescent="0.35">
      <c r="A656" s="218" t="s">
        <v>37</v>
      </c>
      <c r="B656" s="219"/>
      <c r="C656" s="219"/>
      <c r="D656" s="219"/>
      <c r="E656" s="219"/>
      <c r="F656" s="220"/>
      <c r="G656" s="5">
        <f>SUM(G640:G655)</f>
        <v>356.69599999999997</v>
      </c>
    </row>
    <row r="658" spans="1:7" x14ac:dyDescent="0.35">
      <c r="A658" s="1" t="s">
        <v>74</v>
      </c>
      <c r="B658" s="4">
        <f>C634*2</f>
        <v>552.83200000000011</v>
      </c>
      <c r="C658" s="4" t="s">
        <v>16</v>
      </c>
    </row>
    <row r="659" spans="1:7" x14ac:dyDescent="0.35">
      <c r="A659" s="1" t="s">
        <v>56</v>
      </c>
      <c r="B659" s="4">
        <f>G656</f>
        <v>356.69599999999997</v>
      </c>
      <c r="C659" s="4" t="s">
        <v>16</v>
      </c>
    </row>
    <row r="660" spans="1:7" x14ac:dyDescent="0.35">
      <c r="A660" s="1" t="s">
        <v>75</v>
      </c>
      <c r="B660" s="4">
        <f>B658*2</f>
        <v>1105.6640000000002</v>
      </c>
      <c r="C660" s="4" t="s">
        <v>16</v>
      </c>
    </row>
    <row r="661" spans="1:7" x14ac:dyDescent="0.35">
      <c r="A661" s="1"/>
    </row>
    <row r="662" spans="1:7" x14ac:dyDescent="0.35">
      <c r="A662" s="1" t="s">
        <v>260</v>
      </c>
      <c r="B662" s="1"/>
      <c r="C662" s="1"/>
      <c r="D662" s="1"/>
      <c r="E662" s="1"/>
      <c r="F662" s="1"/>
      <c r="G662" s="1"/>
    </row>
    <row r="663" spans="1:7" x14ac:dyDescent="0.35">
      <c r="A663" s="5" t="s">
        <v>27</v>
      </c>
      <c r="B663" s="12" t="s">
        <v>26</v>
      </c>
      <c r="C663" s="12" t="s">
        <v>20</v>
      </c>
      <c r="D663" s="12" t="s">
        <v>36</v>
      </c>
      <c r="E663" s="1"/>
      <c r="F663" s="1"/>
      <c r="G663" s="1"/>
    </row>
    <row r="664" spans="1:7" x14ac:dyDescent="0.35">
      <c r="A664" s="5">
        <v>4.2</v>
      </c>
      <c r="B664" s="12">
        <v>2.5</v>
      </c>
      <c r="C664" s="12">
        <v>1</v>
      </c>
      <c r="D664" s="12">
        <f>C664*(A664*2+B664*2)</f>
        <v>13.4</v>
      </c>
      <c r="E664" s="1"/>
      <c r="F664" s="1"/>
      <c r="G664" s="1"/>
    </row>
    <row r="665" spans="1:7" x14ac:dyDescent="0.35">
      <c r="A665" s="5">
        <v>3.3</v>
      </c>
      <c r="B665" s="12">
        <v>2.5499999999999998</v>
      </c>
      <c r="C665" s="12">
        <v>1</v>
      </c>
      <c r="D665" s="12">
        <f t="shared" ref="D665:D697" si="44">C665*(A665*2+B665*2)</f>
        <v>11.7</v>
      </c>
      <c r="E665" s="1"/>
      <c r="F665" s="1"/>
      <c r="G665" s="1"/>
    </row>
    <row r="666" spans="1:7" x14ac:dyDescent="0.35">
      <c r="A666" s="5">
        <v>4.3</v>
      </c>
      <c r="B666" s="12">
        <v>1.2</v>
      </c>
      <c r="C666" s="12">
        <v>1</v>
      </c>
      <c r="D666" s="12">
        <f t="shared" si="44"/>
        <v>11</v>
      </c>
      <c r="E666" s="1"/>
      <c r="F666" s="1"/>
      <c r="G666" s="1"/>
    </row>
    <row r="667" spans="1:7" x14ac:dyDescent="0.35">
      <c r="A667" s="5">
        <v>2</v>
      </c>
      <c r="B667" s="12">
        <v>1.2</v>
      </c>
      <c r="C667" s="12">
        <v>2</v>
      </c>
      <c r="D667" s="12">
        <f t="shared" si="44"/>
        <v>12.8</v>
      </c>
      <c r="E667" s="1"/>
      <c r="F667" s="1"/>
      <c r="G667" s="1"/>
    </row>
    <row r="668" spans="1:7" x14ac:dyDescent="0.35">
      <c r="A668" s="5">
        <v>1.85</v>
      </c>
      <c r="B668" s="12">
        <v>2.5499999999999998</v>
      </c>
      <c r="C668" s="12">
        <v>1</v>
      </c>
      <c r="D668" s="12">
        <f t="shared" si="44"/>
        <v>8.8000000000000007</v>
      </c>
      <c r="E668" s="1"/>
      <c r="F668" s="1"/>
      <c r="G668" s="1"/>
    </row>
    <row r="669" spans="1:7" x14ac:dyDescent="0.35">
      <c r="A669" s="5">
        <v>5.8</v>
      </c>
      <c r="B669" s="12">
        <v>1.75</v>
      </c>
      <c r="C669" s="12">
        <v>1</v>
      </c>
      <c r="D669" s="12">
        <f t="shared" si="44"/>
        <v>15.1</v>
      </c>
      <c r="E669" s="1"/>
      <c r="F669" s="1"/>
      <c r="G669" s="1"/>
    </row>
    <row r="670" spans="1:7" x14ac:dyDescent="0.35">
      <c r="A670" s="5">
        <v>1.65</v>
      </c>
      <c r="B670" s="12">
        <v>7.4</v>
      </c>
      <c r="C670" s="12">
        <v>1</v>
      </c>
      <c r="D670" s="12">
        <f t="shared" si="44"/>
        <v>18.100000000000001</v>
      </c>
      <c r="E670" s="1"/>
      <c r="F670" s="1"/>
      <c r="G670" s="1"/>
    </row>
    <row r="671" spans="1:7" x14ac:dyDescent="0.35">
      <c r="A671" s="5">
        <v>1.95</v>
      </c>
      <c r="B671" s="12">
        <v>1.5</v>
      </c>
      <c r="C671" s="12">
        <v>1</v>
      </c>
      <c r="D671" s="12">
        <f t="shared" si="44"/>
        <v>6.9</v>
      </c>
      <c r="E671" s="1"/>
      <c r="F671" s="1"/>
      <c r="G671" s="1"/>
    </row>
    <row r="672" spans="1:7" x14ac:dyDescent="0.35">
      <c r="A672" s="5">
        <v>2.5499999999999998</v>
      </c>
      <c r="B672" s="12">
        <v>3</v>
      </c>
      <c r="C672" s="12">
        <v>1</v>
      </c>
      <c r="D672" s="12">
        <f t="shared" si="44"/>
        <v>11.1</v>
      </c>
      <c r="E672" s="1"/>
      <c r="F672" s="1"/>
      <c r="G672" s="1"/>
    </row>
    <row r="673" spans="1:7" x14ac:dyDescent="0.35">
      <c r="A673" s="5">
        <v>3</v>
      </c>
      <c r="B673" s="12">
        <v>3</v>
      </c>
      <c r="C673" s="12">
        <v>1</v>
      </c>
      <c r="D673" s="12">
        <f t="shared" si="44"/>
        <v>12</v>
      </c>
      <c r="E673" s="1"/>
      <c r="F673" s="1"/>
      <c r="G673" s="1"/>
    </row>
    <row r="674" spans="1:7" x14ac:dyDescent="0.35">
      <c r="A674" s="5">
        <v>1.8</v>
      </c>
      <c r="B674" s="12">
        <v>3.5</v>
      </c>
      <c r="C674" s="12">
        <v>1</v>
      </c>
      <c r="D674" s="12">
        <f t="shared" si="44"/>
        <v>10.6</v>
      </c>
      <c r="E674" s="1"/>
      <c r="F674" s="1"/>
      <c r="G674" s="1"/>
    </row>
    <row r="675" spans="1:7" x14ac:dyDescent="0.35">
      <c r="A675" s="5">
        <v>1.9</v>
      </c>
      <c r="B675" s="12">
        <v>1.8</v>
      </c>
      <c r="C675" s="12">
        <v>1</v>
      </c>
      <c r="D675" s="12">
        <f t="shared" si="44"/>
        <v>7.4</v>
      </c>
      <c r="E675" s="1"/>
      <c r="F675" s="1"/>
      <c r="G675" s="1"/>
    </row>
    <row r="676" spans="1:7" x14ac:dyDescent="0.35">
      <c r="A676" s="5">
        <v>2.6</v>
      </c>
      <c r="B676" s="12">
        <v>3.75</v>
      </c>
      <c r="C676" s="12">
        <v>2</v>
      </c>
      <c r="D676" s="12">
        <f t="shared" si="44"/>
        <v>25.4</v>
      </c>
      <c r="E676" s="1"/>
      <c r="F676" s="1"/>
      <c r="G676" s="1"/>
    </row>
    <row r="677" spans="1:7" x14ac:dyDescent="0.35">
      <c r="A677" s="5">
        <v>3</v>
      </c>
      <c r="B677" s="12">
        <v>3.75</v>
      </c>
      <c r="C677" s="12">
        <v>1</v>
      </c>
      <c r="D677" s="12">
        <f t="shared" si="44"/>
        <v>13.5</v>
      </c>
      <c r="E677" s="1"/>
      <c r="F677" s="1"/>
      <c r="G677" s="1"/>
    </row>
    <row r="678" spans="1:7" x14ac:dyDescent="0.35">
      <c r="A678" s="5">
        <v>2.5499999999999998</v>
      </c>
      <c r="B678" s="12">
        <v>3.75</v>
      </c>
      <c r="C678" s="12">
        <v>1</v>
      </c>
      <c r="D678" s="12">
        <f t="shared" si="44"/>
        <v>12.6</v>
      </c>
      <c r="E678" s="1"/>
      <c r="F678" s="1"/>
      <c r="G678" s="1"/>
    </row>
    <row r="679" spans="1:7" x14ac:dyDescent="0.35">
      <c r="A679" s="5">
        <v>1.8</v>
      </c>
      <c r="B679" s="12">
        <v>3.75</v>
      </c>
      <c r="C679" s="12">
        <v>1</v>
      </c>
      <c r="D679" s="12">
        <f t="shared" si="44"/>
        <v>11.1</v>
      </c>
      <c r="E679" s="1"/>
      <c r="F679" s="1"/>
      <c r="G679" s="1"/>
    </row>
    <row r="680" spans="1:7" x14ac:dyDescent="0.35">
      <c r="A680" s="5">
        <v>1.35</v>
      </c>
      <c r="B680" s="12">
        <v>3.75</v>
      </c>
      <c r="C680" s="12">
        <v>1</v>
      </c>
      <c r="D680" s="12">
        <f t="shared" si="44"/>
        <v>10.199999999999999</v>
      </c>
      <c r="E680" s="1"/>
      <c r="F680" s="1"/>
      <c r="G680" s="1"/>
    </row>
    <row r="681" spans="1:7" x14ac:dyDescent="0.35">
      <c r="A681" s="5">
        <v>3.15</v>
      </c>
      <c r="B681" s="12">
        <v>2.1</v>
      </c>
      <c r="C681" s="12">
        <v>1</v>
      </c>
      <c r="D681" s="12">
        <f t="shared" si="44"/>
        <v>10.5</v>
      </c>
      <c r="E681" s="1"/>
      <c r="F681" s="1"/>
      <c r="G681" s="1"/>
    </row>
    <row r="682" spans="1:7" x14ac:dyDescent="0.35">
      <c r="A682" s="5">
        <v>1.5</v>
      </c>
      <c r="B682" s="12">
        <v>1.53</v>
      </c>
      <c r="C682" s="12">
        <v>1</v>
      </c>
      <c r="D682" s="12">
        <f t="shared" si="44"/>
        <v>6.0600000000000005</v>
      </c>
      <c r="E682" s="1"/>
      <c r="F682" s="1"/>
      <c r="G682" s="1"/>
    </row>
    <row r="683" spans="1:7" x14ac:dyDescent="0.35">
      <c r="A683" s="5">
        <v>1.5</v>
      </c>
      <c r="B683" s="12">
        <v>1.32</v>
      </c>
      <c r="C683" s="12">
        <v>1</v>
      </c>
      <c r="D683" s="12">
        <f t="shared" si="44"/>
        <v>5.6400000000000006</v>
      </c>
      <c r="E683" s="1"/>
      <c r="F683" s="1"/>
      <c r="G683" s="1"/>
    </row>
    <row r="684" spans="1:7" x14ac:dyDescent="0.35">
      <c r="A684" s="5">
        <v>1.5</v>
      </c>
      <c r="B684" s="12">
        <v>2.29</v>
      </c>
      <c r="C684" s="12">
        <v>1</v>
      </c>
      <c r="D684" s="12">
        <f t="shared" si="44"/>
        <v>7.58</v>
      </c>
      <c r="E684" s="1"/>
      <c r="F684" s="1"/>
      <c r="G684" s="1"/>
    </row>
    <row r="685" spans="1:7" x14ac:dyDescent="0.35">
      <c r="A685" s="5">
        <v>1.5</v>
      </c>
      <c r="B685" s="12">
        <v>1.31</v>
      </c>
      <c r="C685" s="12">
        <v>1</v>
      </c>
      <c r="D685" s="12">
        <f t="shared" si="44"/>
        <v>5.62</v>
      </c>
      <c r="E685" s="1"/>
      <c r="F685" s="1"/>
      <c r="G685" s="1"/>
    </row>
    <row r="686" spans="1:7" x14ac:dyDescent="0.35">
      <c r="A686" s="5">
        <v>4.5</v>
      </c>
      <c r="B686" s="12">
        <v>2.0499999999999998</v>
      </c>
      <c r="C686" s="12">
        <v>1</v>
      </c>
      <c r="D686" s="12">
        <f t="shared" si="44"/>
        <v>13.1</v>
      </c>
      <c r="E686" s="1"/>
      <c r="F686" s="1"/>
      <c r="G686" s="1"/>
    </row>
    <row r="687" spans="1:7" x14ac:dyDescent="0.35">
      <c r="A687" s="5">
        <v>7.35</v>
      </c>
      <c r="B687" s="12">
        <v>2.0499999999999998</v>
      </c>
      <c r="C687" s="12">
        <v>1</v>
      </c>
      <c r="D687" s="12">
        <f t="shared" si="44"/>
        <v>18.799999999999997</v>
      </c>
      <c r="E687" s="1"/>
      <c r="F687" s="1"/>
      <c r="G687" s="1"/>
    </row>
    <row r="688" spans="1:7" x14ac:dyDescent="0.35">
      <c r="A688" s="5">
        <v>2.5</v>
      </c>
      <c r="B688" s="12">
        <v>3.65</v>
      </c>
      <c r="C688" s="12">
        <v>2</v>
      </c>
      <c r="D688" s="12">
        <f t="shared" si="44"/>
        <v>24.6</v>
      </c>
      <c r="E688" s="1"/>
      <c r="F688" s="1"/>
      <c r="G688" s="1"/>
    </row>
    <row r="689" spans="1:7" x14ac:dyDescent="0.35">
      <c r="A689" s="5">
        <v>6.8</v>
      </c>
      <c r="B689" s="12">
        <v>3.65</v>
      </c>
      <c r="C689" s="12">
        <v>1</v>
      </c>
      <c r="D689" s="12">
        <f t="shared" si="44"/>
        <v>20.9</v>
      </c>
      <c r="E689" s="1"/>
      <c r="F689" s="1"/>
      <c r="G689" s="1"/>
    </row>
    <row r="690" spans="1:7" x14ac:dyDescent="0.35">
      <c r="A690" s="5">
        <v>1.7</v>
      </c>
      <c r="B690" s="12">
        <v>2.1</v>
      </c>
      <c r="C690" s="12">
        <v>1</v>
      </c>
      <c r="D690" s="12">
        <f t="shared" si="44"/>
        <v>7.6</v>
      </c>
      <c r="E690" s="1"/>
      <c r="F690" s="1"/>
      <c r="G690" s="1"/>
    </row>
    <row r="691" spans="1:7" x14ac:dyDescent="0.35">
      <c r="A691" s="5">
        <v>1.8</v>
      </c>
      <c r="B691" s="12">
        <v>2.1</v>
      </c>
      <c r="C691" s="12">
        <v>1</v>
      </c>
      <c r="D691" s="12">
        <f t="shared" si="44"/>
        <v>7.8000000000000007</v>
      </c>
      <c r="E691" s="1"/>
      <c r="F691" s="1"/>
      <c r="G691" s="1"/>
    </row>
    <row r="692" spans="1:7" x14ac:dyDescent="0.35">
      <c r="A692" s="5">
        <v>3.65</v>
      </c>
      <c r="B692" s="12">
        <v>1.59</v>
      </c>
      <c r="C692" s="12">
        <v>2</v>
      </c>
      <c r="D692" s="12">
        <f t="shared" si="44"/>
        <v>20.96</v>
      </c>
      <c r="E692" s="1"/>
      <c r="F692" s="1"/>
      <c r="G692" s="1"/>
    </row>
    <row r="693" spans="1:7" x14ac:dyDescent="0.35">
      <c r="A693" s="5">
        <v>2.6</v>
      </c>
      <c r="B693" s="12">
        <v>3.65</v>
      </c>
      <c r="C693" s="12">
        <v>1</v>
      </c>
      <c r="D693" s="12">
        <f t="shared" si="44"/>
        <v>12.5</v>
      </c>
      <c r="E693" s="1"/>
      <c r="F693" s="1"/>
      <c r="G693" s="1"/>
    </row>
    <row r="694" spans="1:7" x14ac:dyDescent="0.35">
      <c r="A694" s="5">
        <v>1.75</v>
      </c>
      <c r="B694" s="12">
        <v>3.7</v>
      </c>
      <c r="C694" s="12">
        <v>1</v>
      </c>
      <c r="D694" s="12">
        <f t="shared" si="44"/>
        <v>10.9</v>
      </c>
      <c r="E694" s="1"/>
      <c r="F694" s="1"/>
      <c r="G694" s="1"/>
    </row>
    <row r="695" spans="1:7" x14ac:dyDescent="0.35">
      <c r="A695" s="5">
        <v>6.3</v>
      </c>
      <c r="B695" s="12">
        <v>3.4</v>
      </c>
      <c r="C695" s="12">
        <v>1</v>
      </c>
      <c r="D695" s="12">
        <f t="shared" si="44"/>
        <v>19.399999999999999</v>
      </c>
      <c r="E695" s="1"/>
      <c r="F695" s="1"/>
      <c r="G695" s="1"/>
    </row>
    <row r="696" spans="1:7" x14ac:dyDescent="0.35">
      <c r="A696" s="5">
        <v>1.57</v>
      </c>
      <c r="B696" s="12">
        <v>3.75</v>
      </c>
      <c r="C696" s="12">
        <v>2</v>
      </c>
      <c r="D696" s="12">
        <f t="shared" si="44"/>
        <v>21.28</v>
      </c>
      <c r="E696" s="1"/>
      <c r="F696" s="1"/>
      <c r="G696" s="1"/>
    </row>
    <row r="697" spans="1:7" x14ac:dyDescent="0.35">
      <c r="A697" s="5">
        <v>11.67</v>
      </c>
      <c r="B697" s="12">
        <v>2.5499999999999998</v>
      </c>
      <c r="C697" s="12">
        <v>1</v>
      </c>
      <c r="D697" s="12">
        <f t="shared" si="44"/>
        <v>28.439999999999998</v>
      </c>
      <c r="E697" s="1"/>
      <c r="F697" s="1"/>
      <c r="G697" s="1"/>
    </row>
    <row r="698" spans="1:7" x14ac:dyDescent="0.35">
      <c r="A698" s="217" t="s">
        <v>37</v>
      </c>
      <c r="B698" s="217"/>
      <c r="C698" s="217"/>
      <c r="D698" s="12">
        <f>SUM(D664:D697)</f>
        <v>453.37999999999994</v>
      </c>
      <c r="E698" s="1"/>
      <c r="F698" s="1"/>
      <c r="G698" s="1"/>
    </row>
    <row r="699" spans="1:7" x14ac:dyDescent="0.35">
      <c r="B699" s="1"/>
      <c r="C699" s="1"/>
      <c r="D699" s="1"/>
      <c r="E699" s="1"/>
      <c r="F699" s="1"/>
      <c r="G699" s="1"/>
    </row>
    <row r="700" spans="1:7" ht="29" x14ac:dyDescent="0.35">
      <c r="A700" s="4" t="s">
        <v>261</v>
      </c>
      <c r="B700" s="1"/>
      <c r="C700" s="1"/>
      <c r="D700" s="1"/>
      <c r="E700" s="1"/>
      <c r="F700" s="1"/>
      <c r="G700" s="1"/>
    </row>
    <row r="701" spans="1:7" x14ac:dyDescent="0.35">
      <c r="A701" s="5" t="s">
        <v>22</v>
      </c>
      <c r="B701" s="12" t="s">
        <v>28</v>
      </c>
      <c r="C701" s="12" t="s">
        <v>45</v>
      </c>
      <c r="D701" s="1"/>
      <c r="E701" s="1"/>
      <c r="F701" s="1"/>
      <c r="G701" s="1"/>
    </row>
    <row r="702" spans="1:7" x14ac:dyDescent="0.35">
      <c r="A702" s="5">
        <f>D698</f>
        <v>453.37999999999994</v>
      </c>
      <c r="B702" s="12">
        <v>2.8</v>
      </c>
      <c r="C702" s="12">
        <f>B702*A702</f>
        <v>1269.4639999999997</v>
      </c>
      <c r="D702" s="1"/>
      <c r="E702" s="1"/>
      <c r="F702" s="1"/>
      <c r="G702" s="1"/>
    </row>
    <row r="703" spans="1:7" x14ac:dyDescent="0.35">
      <c r="A703" s="5" t="s">
        <v>262</v>
      </c>
      <c r="B703" s="12"/>
      <c r="C703" s="12">
        <f>B659</f>
        <v>356.69599999999997</v>
      </c>
      <c r="D703" s="1"/>
      <c r="E703" s="1"/>
      <c r="F703" s="1"/>
      <c r="G703" s="1"/>
    </row>
    <row r="704" spans="1:7" x14ac:dyDescent="0.35">
      <c r="A704" s="218" t="s">
        <v>263</v>
      </c>
      <c r="B704" s="220"/>
      <c r="C704" s="12">
        <f>C702-C703</f>
        <v>912.7679999999998</v>
      </c>
      <c r="D704" s="1"/>
      <c r="E704" s="1"/>
      <c r="F704" s="1"/>
      <c r="G704" s="1"/>
    </row>
    <row r="705" spans="1:7" x14ac:dyDescent="0.35">
      <c r="B705" s="1"/>
      <c r="C705" s="1"/>
      <c r="D705" s="1"/>
      <c r="E705" s="1"/>
      <c r="F705" s="1"/>
      <c r="G705" s="1"/>
    </row>
    <row r="706" spans="1:7" x14ac:dyDescent="0.35">
      <c r="A706" s="1" t="s">
        <v>77</v>
      </c>
      <c r="F706" s="1"/>
      <c r="G706" s="1"/>
    </row>
    <row r="707" spans="1:7" x14ac:dyDescent="0.35">
      <c r="A707" s="5" t="s">
        <v>22</v>
      </c>
      <c r="B707" s="5" t="s">
        <v>28</v>
      </c>
      <c r="C707" s="12" t="s">
        <v>49</v>
      </c>
      <c r="F707" s="1"/>
      <c r="G707" s="1"/>
    </row>
    <row r="708" spans="1:7" x14ac:dyDescent="0.35">
      <c r="A708" s="5">
        <v>97.08</v>
      </c>
      <c r="B708" s="5">
        <v>3.1</v>
      </c>
      <c r="C708" s="12">
        <f>B708*A708</f>
        <v>300.94799999999998</v>
      </c>
      <c r="F708" s="1"/>
      <c r="G708" s="1"/>
    </row>
    <row r="709" spans="1:7" x14ac:dyDescent="0.35">
      <c r="A709" s="1"/>
      <c r="B709" s="1"/>
      <c r="C709" s="1"/>
      <c r="D709" s="1"/>
      <c r="E709" s="1"/>
      <c r="F709" s="1"/>
      <c r="G709" s="1"/>
    </row>
    <row r="710" spans="1:7" x14ac:dyDescent="0.35">
      <c r="A710" s="1" t="s">
        <v>78</v>
      </c>
      <c r="B710" s="1">
        <v>340</v>
      </c>
      <c r="C710" s="1" t="s">
        <v>16</v>
      </c>
      <c r="D710" s="1" t="s">
        <v>264</v>
      </c>
      <c r="E710" s="1"/>
      <c r="F710" s="1"/>
      <c r="G710" s="1"/>
    </row>
    <row r="711" spans="1:7" x14ac:dyDescent="0.35">
      <c r="A711" s="1"/>
      <c r="B711" s="1"/>
      <c r="C711" s="1"/>
      <c r="D711" s="1"/>
      <c r="E711" s="1"/>
      <c r="F711" s="1"/>
      <c r="G711" s="1"/>
    </row>
    <row r="712" spans="1:7" x14ac:dyDescent="0.35">
      <c r="A712" s="2" t="s">
        <v>79</v>
      </c>
      <c r="B712" s="1"/>
      <c r="C712" s="1"/>
      <c r="D712" s="1"/>
      <c r="E712" s="1"/>
      <c r="F712" s="1"/>
      <c r="G712" s="1"/>
    </row>
    <row r="713" spans="1:7" x14ac:dyDescent="0.35">
      <c r="A713" s="1" t="s">
        <v>265</v>
      </c>
      <c r="B713" s="1"/>
      <c r="C713" s="1"/>
      <c r="D713" s="1" t="s">
        <v>84</v>
      </c>
      <c r="E713" s="1"/>
      <c r="F713" s="1"/>
      <c r="G713" s="1"/>
    </row>
    <row r="714" spans="1:7" x14ac:dyDescent="0.35">
      <c r="A714" s="12" t="s">
        <v>27</v>
      </c>
      <c r="B714" s="12" t="s">
        <v>83</v>
      </c>
      <c r="C714" s="12" t="s">
        <v>45</v>
      </c>
      <c r="D714" s="12" t="s">
        <v>88</v>
      </c>
      <c r="E714" s="12"/>
      <c r="F714" s="1"/>
      <c r="G714" s="1"/>
    </row>
    <row r="715" spans="1:7" x14ac:dyDescent="0.35">
      <c r="A715" s="12">
        <v>3</v>
      </c>
      <c r="B715" s="12">
        <f>4.7+0.5</f>
        <v>5.2</v>
      </c>
      <c r="C715" s="12">
        <f>B715*A715</f>
        <v>15.600000000000001</v>
      </c>
      <c r="D715" s="12">
        <f>1.025*A715</f>
        <v>3.0749999999999997</v>
      </c>
      <c r="E715" s="12">
        <f>D715*B715</f>
        <v>15.989999999999998</v>
      </c>
      <c r="F715" s="1"/>
      <c r="G715" s="1"/>
    </row>
    <row r="716" spans="1:7" x14ac:dyDescent="0.35">
      <c r="A716" s="12">
        <v>6.57</v>
      </c>
      <c r="B716" s="12">
        <f>1.8+0.5</f>
        <v>2.2999999999999998</v>
      </c>
      <c r="C716" s="12">
        <f t="shared" ref="C716:C717" si="45">B716*A716</f>
        <v>15.110999999999999</v>
      </c>
      <c r="D716" s="12">
        <f t="shared" ref="D716:D717" si="46">1.025*A716</f>
        <v>6.7342499999999994</v>
      </c>
      <c r="E716" s="12">
        <f t="shared" ref="E716:E717" si="47">D716*B716</f>
        <v>15.488774999999997</v>
      </c>
      <c r="F716" s="1"/>
      <c r="G716" s="1"/>
    </row>
    <row r="717" spans="1:7" x14ac:dyDescent="0.35">
      <c r="A717" s="5">
        <v>5.8</v>
      </c>
      <c r="B717" s="5">
        <v>10.050000000000001</v>
      </c>
      <c r="C717" s="12">
        <f t="shared" si="45"/>
        <v>58.29</v>
      </c>
      <c r="D717" s="12">
        <f t="shared" si="46"/>
        <v>5.9449999999999994</v>
      </c>
      <c r="E717" s="12">
        <f t="shared" si="47"/>
        <v>59.747250000000001</v>
      </c>
    </row>
    <row r="718" spans="1:7" x14ac:dyDescent="0.35">
      <c r="A718" s="217" t="s">
        <v>37</v>
      </c>
      <c r="B718" s="217"/>
      <c r="C718" s="5">
        <f>SUM(C715:C717)</f>
        <v>89.001000000000005</v>
      </c>
      <c r="D718" s="5"/>
      <c r="E718" s="5">
        <f>SUM(E715:E717)</f>
        <v>91.226024999999993</v>
      </c>
    </row>
    <row r="719" spans="1:7" x14ac:dyDescent="0.35">
      <c r="A719" s="7"/>
      <c r="B719" s="7"/>
    </row>
    <row r="720" spans="1:7" x14ac:dyDescent="0.35">
      <c r="A720" s="1" t="s">
        <v>86</v>
      </c>
      <c r="B720" s="7"/>
      <c r="C720" s="13">
        <f>C718</f>
        <v>89.001000000000005</v>
      </c>
      <c r="D720" s="4" t="s">
        <v>16</v>
      </c>
    </row>
    <row r="721" spans="1:4" x14ac:dyDescent="0.35">
      <c r="A721" s="1" t="s">
        <v>87</v>
      </c>
      <c r="B721" s="7"/>
      <c r="C721" s="13">
        <f>E718</f>
        <v>91.226024999999993</v>
      </c>
      <c r="D721" s="4" t="s">
        <v>16</v>
      </c>
    </row>
    <row r="722" spans="1:4" x14ac:dyDescent="0.35">
      <c r="A722" s="1" t="s">
        <v>90</v>
      </c>
      <c r="B722" s="7"/>
      <c r="C722" s="4">
        <f>35.66*2</f>
        <v>71.319999999999993</v>
      </c>
      <c r="D722" s="4" t="s">
        <v>92</v>
      </c>
    </row>
    <row r="724" spans="1:4" x14ac:dyDescent="0.35">
      <c r="A724" s="1" t="s">
        <v>93</v>
      </c>
    </row>
    <row r="725" spans="1:4" x14ac:dyDescent="0.35">
      <c r="A725" s="1" t="s">
        <v>94</v>
      </c>
      <c r="B725" s="4">
        <v>6</v>
      </c>
    </row>
    <row r="727" spans="1:4" x14ac:dyDescent="0.35">
      <c r="A727" s="1" t="s">
        <v>266</v>
      </c>
    </row>
    <row r="728" spans="1:4" x14ac:dyDescent="0.35">
      <c r="A728" s="12" t="s">
        <v>27</v>
      </c>
      <c r="B728" s="12" t="s">
        <v>83</v>
      </c>
      <c r="C728" s="5" t="s">
        <v>49</v>
      </c>
    </row>
    <row r="729" spans="1:4" x14ac:dyDescent="0.35">
      <c r="A729" s="5">
        <v>3.6</v>
      </c>
      <c r="B729" s="5">
        <v>4.5</v>
      </c>
      <c r="C729" s="5">
        <f>B729*A729</f>
        <v>16.2</v>
      </c>
    </row>
    <row r="730" spans="1:4" x14ac:dyDescent="0.35">
      <c r="A730" s="217" t="s">
        <v>37</v>
      </c>
      <c r="B730" s="217"/>
      <c r="C730" s="5">
        <f>SUM(C729:C729)</f>
        <v>16.2</v>
      </c>
    </row>
    <row r="732" spans="1:4" ht="29" x14ac:dyDescent="0.35">
      <c r="A732" s="4" t="s">
        <v>95</v>
      </c>
      <c r="B732" s="4">
        <f>C730</f>
        <v>16.2</v>
      </c>
      <c r="C732" s="4" t="s">
        <v>16</v>
      </c>
    </row>
    <row r="733" spans="1:4" x14ac:dyDescent="0.35">
      <c r="A733" s="4" t="s">
        <v>96</v>
      </c>
      <c r="B733" s="4">
        <f>C730</f>
        <v>16.2</v>
      </c>
      <c r="C733" s="4" t="s">
        <v>16</v>
      </c>
    </row>
    <row r="735" spans="1:4" x14ac:dyDescent="0.35">
      <c r="A735" s="3" t="s">
        <v>99</v>
      </c>
    </row>
    <row r="736" spans="1:4" x14ac:dyDescent="0.35">
      <c r="A736" s="1" t="s">
        <v>100</v>
      </c>
    </row>
    <row r="737" spans="1:7" x14ac:dyDescent="0.35">
      <c r="A737" s="5" t="s">
        <v>45</v>
      </c>
      <c r="B737" s="5" t="s">
        <v>101</v>
      </c>
      <c r="C737" s="5" t="s">
        <v>50</v>
      </c>
    </row>
    <row r="738" spans="1:7" x14ac:dyDescent="0.35">
      <c r="A738" s="5">
        <f>C598</f>
        <v>86.236599999999981</v>
      </c>
      <c r="B738" s="5">
        <v>0.06</v>
      </c>
      <c r="C738" s="5">
        <f>B738*A738</f>
        <v>5.1741959999999985</v>
      </c>
    </row>
    <row r="740" spans="1:7" x14ac:dyDescent="0.35">
      <c r="A740" s="1" t="s">
        <v>102</v>
      </c>
      <c r="C740" s="4">
        <f>A738</f>
        <v>86.236599999999981</v>
      </c>
      <c r="D740" s="4" t="s">
        <v>16</v>
      </c>
    </row>
    <row r="741" spans="1:7" x14ac:dyDescent="0.35">
      <c r="A741" s="1" t="s">
        <v>103</v>
      </c>
      <c r="C741" s="4">
        <f>C740</f>
        <v>86.236599999999981</v>
      </c>
      <c r="D741" s="4" t="s">
        <v>16</v>
      </c>
    </row>
    <row r="742" spans="1:7" x14ac:dyDescent="0.35">
      <c r="A742" s="1" t="s">
        <v>104</v>
      </c>
      <c r="C742" s="4">
        <f>C741</f>
        <v>86.236599999999981</v>
      </c>
      <c r="D742" s="4" t="s">
        <v>16</v>
      </c>
    </row>
    <row r="744" spans="1:7" x14ac:dyDescent="0.35">
      <c r="A744" s="1" t="s">
        <v>105</v>
      </c>
    </row>
    <row r="745" spans="1:7" x14ac:dyDescent="0.35">
      <c r="A745" s="4" t="s">
        <v>106</v>
      </c>
      <c r="B745" s="4">
        <f>D698-SUM(E640:E652)</f>
        <v>325.53999999999996</v>
      </c>
      <c r="C745" s="4" t="s">
        <v>92</v>
      </c>
    </row>
    <row r="747" spans="1:7" x14ac:dyDescent="0.35">
      <c r="A747" s="2" t="s">
        <v>108</v>
      </c>
      <c r="G747" s="25"/>
    </row>
    <row r="748" spans="1:7" x14ac:dyDescent="0.35">
      <c r="A748" s="1" t="s">
        <v>110</v>
      </c>
      <c r="B748" s="1"/>
      <c r="C748" s="1"/>
      <c r="D748" s="1"/>
      <c r="E748" s="1"/>
      <c r="F748" s="1"/>
      <c r="G748" s="1"/>
    </row>
    <row r="749" spans="1:7" x14ac:dyDescent="0.35">
      <c r="A749" s="12"/>
      <c r="B749" s="12" t="s">
        <v>118</v>
      </c>
      <c r="C749" s="12" t="s">
        <v>28</v>
      </c>
      <c r="D749" s="12" t="s">
        <v>119</v>
      </c>
      <c r="E749" s="12" t="s">
        <v>125</v>
      </c>
      <c r="F749" s="12" t="s">
        <v>148</v>
      </c>
      <c r="G749" s="1"/>
    </row>
    <row r="750" spans="1:7" x14ac:dyDescent="0.35">
      <c r="A750" s="12" t="s">
        <v>111</v>
      </c>
      <c r="B750" s="12">
        <v>0.6</v>
      </c>
      <c r="C750" s="12">
        <v>0.4</v>
      </c>
      <c r="D750" s="12" t="s">
        <v>132</v>
      </c>
      <c r="E750" s="12"/>
      <c r="F750" s="12">
        <f>+E750*C750*B750</f>
        <v>0</v>
      </c>
      <c r="G750" s="1"/>
    </row>
    <row r="751" spans="1:7" x14ac:dyDescent="0.35">
      <c r="A751" s="12" t="s">
        <v>112</v>
      </c>
      <c r="B751" s="12">
        <v>0.8</v>
      </c>
      <c r="C751" s="12">
        <v>0.6</v>
      </c>
      <c r="D751" s="12" t="s">
        <v>132</v>
      </c>
      <c r="E751" s="12"/>
      <c r="F751" s="12">
        <f t="shared" ref="F751:F762" si="48">+E751*C751*B751</f>
        <v>0</v>
      </c>
      <c r="G751" s="1"/>
    </row>
    <row r="752" spans="1:7" x14ac:dyDescent="0.35">
      <c r="A752" s="12" t="s">
        <v>113</v>
      </c>
      <c r="B752" s="12">
        <v>0.7</v>
      </c>
      <c r="C752" s="12">
        <v>1</v>
      </c>
      <c r="D752" s="12" t="s">
        <v>133</v>
      </c>
      <c r="E752" s="12">
        <v>4</v>
      </c>
      <c r="F752" s="12">
        <f t="shared" si="48"/>
        <v>2.8</v>
      </c>
      <c r="G752" s="1"/>
    </row>
    <row r="753" spans="1:9" x14ac:dyDescent="0.35">
      <c r="A753" s="12" t="s">
        <v>114</v>
      </c>
      <c r="B753" s="12">
        <v>0.8</v>
      </c>
      <c r="C753" s="12">
        <v>1</v>
      </c>
      <c r="D753" s="12" t="s">
        <v>133</v>
      </c>
      <c r="E753" s="12">
        <v>1</v>
      </c>
      <c r="F753" s="12">
        <f t="shared" si="48"/>
        <v>0.8</v>
      </c>
      <c r="G753" s="1"/>
      <c r="I753" s="4" t="s">
        <v>269</v>
      </c>
    </row>
    <row r="754" spans="1:9" x14ac:dyDescent="0.35">
      <c r="A754" s="12" t="s">
        <v>115</v>
      </c>
      <c r="B754" s="12">
        <v>0.8</v>
      </c>
      <c r="C754" s="12">
        <v>1.2</v>
      </c>
      <c r="D754" s="12" t="s">
        <v>133</v>
      </c>
      <c r="E754" s="12">
        <v>5</v>
      </c>
      <c r="F754" s="12">
        <f t="shared" si="48"/>
        <v>4.8000000000000007</v>
      </c>
      <c r="G754" s="1"/>
      <c r="H754" s="4" t="s">
        <v>267</v>
      </c>
      <c r="I754" s="4" t="s">
        <v>268</v>
      </c>
    </row>
    <row r="755" spans="1:9" x14ac:dyDescent="0.35">
      <c r="A755" s="12" t="s">
        <v>116</v>
      </c>
      <c r="B755" s="12">
        <v>1.2</v>
      </c>
      <c r="C755" s="12">
        <v>0.6</v>
      </c>
      <c r="D755" s="12" t="s">
        <v>132</v>
      </c>
      <c r="E755" s="12"/>
      <c r="F755" s="12">
        <f t="shared" si="48"/>
        <v>0</v>
      </c>
      <c r="G755" s="1"/>
    </row>
    <row r="756" spans="1:9" x14ac:dyDescent="0.35">
      <c r="A756" s="12" t="s">
        <v>117</v>
      </c>
      <c r="B756" s="12">
        <v>0.8</v>
      </c>
      <c r="C756" s="12">
        <v>1.2</v>
      </c>
      <c r="D756" s="12" t="s">
        <v>134</v>
      </c>
      <c r="E756" s="12"/>
      <c r="F756" s="12">
        <f t="shared" si="48"/>
        <v>0</v>
      </c>
      <c r="G756" s="1"/>
    </row>
    <row r="757" spans="1:9" x14ac:dyDescent="0.35">
      <c r="A757" s="12" t="s">
        <v>120</v>
      </c>
      <c r="B757" s="12">
        <v>0.6</v>
      </c>
      <c r="C757" s="12">
        <v>1.5</v>
      </c>
      <c r="D757" s="12" t="s">
        <v>134</v>
      </c>
      <c r="E757" s="12"/>
      <c r="F757" s="12">
        <f t="shared" si="48"/>
        <v>0</v>
      </c>
      <c r="G757" s="1"/>
    </row>
    <row r="758" spans="1:9" x14ac:dyDescent="0.35">
      <c r="A758" s="12" t="s">
        <v>121</v>
      </c>
      <c r="B758" s="12">
        <v>1.2</v>
      </c>
      <c r="C758" s="12">
        <v>1</v>
      </c>
      <c r="D758" s="12" t="s">
        <v>135</v>
      </c>
      <c r="E758" s="12"/>
      <c r="F758" s="12">
        <f t="shared" si="48"/>
        <v>0</v>
      </c>
      <c r="G758" s="1"/>
    </row>
    <row r="759" spans="1:9" x14ac:dyDescent="0.35">
      <c r="A759" s="12" t="s">
        <v>122</v>
      </c>
      <c r="B759" s="12">
        <v>1.5</v>
      </c>
      <c r="C759" s="12">
        <v>1</v>
      </c>
      <c r="D759" s="12" t="s">
        <v>135</v>
      </c>
      <c r="E759" s="12">
        <v>2</v>
      </c>
      <c r="F759" s="12">
        <f t="shared" si="48"/>
        <v>3</v>
      </c>
      <c r="G759" s="1"/>
    </row>
    <row r="760" spans="1:9" x14ac:dyDescent="0.35">
      <c r="A760" s="12" t="s">
        <v>123</v>
      </c>
      <c r="B760" s="12">
        <v>2</v>
      </c>
      <c r="C760" s="12">
        <v>1</v>
      </c>
      <c r="D760" s="12" t="s">
        <v>135</v>
      </c>
      <c r="E760" s="12">
        <v>2</v>
      </c>
      <c r="F760" s="12">
        <f t="shared" si="48"/>
        <v>4</v>
      </c>
      <c r="G760" s="1"/>
    </row>
    <row r="761" spans="1:9" x14ac:dyDescent="0.35">
      <c r="A761" s="12" t="s">
        <v>124</v>
      </c>
      <c r="B761" s="12">
        <v>1</v>
      </c>
      <c r="C761" s="12">
        <v>1</v>
      </c>
      <c r="D761" s="12" t="s">
        <v>135</v>
      </c>
      <c r="E761" s="12">
        <v>1</v>
      </c>
      <c r="F761" s="12">
        <f t="shared" si="48"/>
        <v>1</v>
      </c>
      <c r="G761" s="1"/>
    </row>
    <row r="762" spans="1:9" x14ac:dyDescent="0.35">
      <c r="A762" s="12" t="s">
        <v>270</v>
      </c>
      <c r="B762" s="12">
        <v>0.6</v>
      </c>
      <c r="C762" s="12">
        <v>0.6</v>
      </c>
      <c r="D762" s="12"/>
      <c r="E762" s="12">
        <v>1</v>
      </c>
      <c r="F762" s="12">
        <f t="shared" si="48"/>
        <v>0.36</v>
      </c>
      <c r="G762" s="1"/>
    </row>
    <row r="763" spans="1:9" x14ac:dyDescent="0.35">
      <c r="A763" s="12" t="s">
        <v>271</v>
      </c>
      <c r="B763" s="12">
        <v>4</v>
      </c>
      <c r="C763" s="12">
        <v>1</v>
      </c>
      <c r="D763" s="12"/>
      <c r="E763" s="12">
        <v>1</v>
      </c>
      <c r="F763" s="12">
        <f t="shared" ref="F763" si="49">+E763*C763*B763</f>
        <v>4</v>
      </c>
      <c r="G763" s="1"/>
    </row>
    <row r="764" spans="1:9" x14ac:dyDescent="0.35">
      <c r="A764" s="1"/>
      <c r="B764" s="1"/>
      <c r="C764" s="1"/>
      <c r="D764" s="1"/>
      <c r="E764" s="1"/>
      <c r="F764" s="1"/>
      <c r="G764" s="1"/>
    </row>
    <row r="765" spans="1:9" x14ac:dyDescent="0.35">
      <c r="A765" s="1" t="s">
        <v>126</v>
      </c>
      <c r="B765" s="1"/>
      <c r="C765" s="1"/>
      <c r="D765" s="1"/>
      <c r="E765" s="1"/>
      <c r="F765" s="1"/>
      <c r="G765" s="1"/>
    </row>
    <row r="766" spans="1:9" x14ac:dyDescent="0.35">
      <c r="A766" s="12"/>
      <c r="B766" s="12" t="s">
        <v>118</v>
      </c>
      <c r="C766" s="12" t="s">
        <v>28</v>
      </c>
      <c r="D766" s="12" t="s">
        <v>119</v>
      </c>
      <c r="E766" s="12" t="s">
        <v>125</v>
      </c>
      <c r="F766" s="12" t="s">
        <v>148</v>
      </c>
      <c r="G766" s="1"/>
      <c r="H766" s="4" t="s">
        <v>474</v>
      </c>
    </row>
    <row r="767" spans="1:9" x14ac:dyDescent="0.35">
      <c r="A767" s="12" t="s">
        <v>127</v>
      </c>
      <c r="B767" s="12">
        <v>1.2</v>
      </c>
      <c r="C767" s="12">
        <v>2.1</v>
      </c>
      <c r="D767" s="12" t="s">
        <v>138</v>
      </c>
      <c r="E767" s="12">
        <v>2</v>
      </c>
      <c r="F767" s="12">
        <f>+E767*C767*B767</f>
        <v>5.04</v>
      </c>
      <c r="G767" s="1"/>
      <c r="H767" s="4">
        <f>E767*B767</f>
        <v>2.4</v>
      </c>
    </row>
    <row r="768" spans="1:9" x14ac:dyDescent="0.35">
      <c r="A768" s="12" t="s">
        <v>128</v>
      </c>
      <c r="B768" s="12">
        <v>1.2</v>
      </c>
      <c r="C768" s="12">
        <v>2.1</v>
      </c>
      <c r="D768" s="12" t="s">
        <v>142</v>
      </c>
      <c r="E768" s="12"/>
      <c r="F768" s="12">
        <f t="shared" ref="F768:F777" si="50">+E768*C768*B768</f>
        <v>0</v>
      </c>
      <c r="G768" s="1"/>
      <c r="H768" s="4">
        <f t="shared" ref="H768:H779" si="51">E768*B768</f>
        <v>0</v>
      </c>
    </row>
    <row r="769" spans="1:8" x14ac:dyDescent="0.35">
      <c r="A769" s="12" t="s">
        <v>129</v>
      </c>
      <c r="B769" s="12">
        <v>1.4</v>
      </c>
      <c r="C769" s="12">
        <v>2.1</v>
      </c>
      <c r="D769" s="12" t="s">
        <v>138</v>
      </c>
      <c r="E769" s="12"/>
      <c r="F769" s="12">
        <f t="shared" si="50"/>
        <v>0</v>
      </c>
      <c r="G769" s="1"/>
      <c r="H769" s="4">
        <f t="shared" si="51"/>
        <v>0</v>
      </c>
    </row>
    <row r="770" spans="1:8" x14ac:dyDescent="0.35">
      <c r="A770" s="12" t="s">
        <v>130</v>
      </c>
      <c r="B770" s="12">
        <v>1.2</v>
      </c>
      <c r="C770" s="12">
        <v>1.5</v>
      </c>
      <c r="D770" s="12" t="s">
        <v>137</v>
      </c>
      <c r="E770" s="12">
        <v>1</v>
      </c>
      <c r="F770" s="12">
        <f t="shared" si="50"/>
        <v>1.7999999999999998</v>
      </c>
      <c r="G770" s="1"/>
      <c r="H770" s="4">
        <f t="shared" si="51"/>
        <v>1.2</v>
      </c>
    </row>
    <row r="771" spans="1:8" x14ac:dyDescent="0.35">
      <c r="A771" s="12" t="s">
        <v>131</v>
      </c>
      <c r="B771" s="12">
        <v>1.2</v>
      </c>
      <c r="C771" s="12">
        <v>2.1</v>
      </c>
      <c r="D771" s="12" t="s">
        <v>139</v>
      </c>
      <c r="E771" s="12">
        <v>2</v>
      </c>
      <c r="F771" s="12">
        <f t="shared" si="50"/>
        <v>5.04</v>
      </c>
      <c r="G771" s="1"/>
      <c r="H771" s="4">
        <f t="shared" si="51"/>
        <v>2.4</v>
      </c>
    </row>
    <row r="772" spans="1:8" x14ac:dyDescent="0.35">
      <c r="A772" s="12" t="s">
        <v>136</v>
      </c>
      <c r="B772" s="12">
        <v>0.8</v>
      </c>
      <c r="C772" s="12">
        <v>2.1</v>
      </c>
      <c r="D772" s="12" t="s">
        <v>145</v>
      </c>
      <c r="E772" s="12">
        <v>2</v>
      </c>
      <c r="F772" s="12">
        <f t="shared" si="50"/>
        <v>3.3600000000000003</v>
      </c>
      <c r="G772" s="1"/>
      <c r="H772" s="4">
        <f t="shared" si="51"/>
        <v>1.6</v>
      </c>
    </row>
    <row r="773" spans="1:8" x14ac:dyDescent="0.35">
      <c r="A773" s="12" t="s">
        <v>141</v>
      </c>
      <c r="B773" s="12">
        <v>0.8</v>
      </c>
      <c r="C773" s="12">
        <v>2.1</v>
      </c>
      <c r="D773" s="12" t="s">
        <v>140</v>
      </c>
      <c r="E773" s="12">
        <v>23</v>
      </c>
      <c r="F773" s="12">
        <f t="shared" si="50"/>
        <v>38.640000000000008</v>
      </c>
      <c r="G773" s="1"/>
      <c r="H773" s="4">
        <f t="shared" si="51"/>
        <v>18.400000000000002</v>
      </c>
    </row>
    <row r="774" spans="1:8" x14ac:dyDescent="0.35">
      <c r="A774" s="28" t="s">
        <v>143</v>
      </c>
      <c r="B774" s="28">
        <v>0.6</v>
      </c>
      <c r="C774" s="28">
        <v>1.8</v>
      </c>
      <c r="D774" s="28" t="s">
        <v>159</v>
      </c>
      <c r="E774" s="28"/>
      <c r="F774" s="28">
        <f t="shared" si="50"/>
        <v>0</v>
      </c>
      <c r="G774" s="16" t="s">
        <v>158</v>
      </c>
      <c r="H774" s="4">
        <f t="shared" si="51"/>
        <v>0</v>
      </c>
    </row>
    <row r="775" spans="1:8" x14ac:dyDescent="0.35">
      <c r="A775" s="12" t="s">
        <v>144</v>
      </c>
      <c r="B775" s="12">
        <v>0.9</v>
      </c>
      <c r="C775" s="12">
        <v>2.1</v>
      </c>
      <c r="D775" s="12" t="s">
        <v>152</v>
      </c>
      <c r="E775" s="12">
        <v>2</v>
      </c>
      <c r="F775" s="12">
        <f t="shared" si="50"/>
        <v>3.7800000000000002</v>
      </c>
      <c r="G775" s="1"/>
      <c r="H775" s="4">
        <f t="shared" si="51"/>
        <v>1.8</v>
      </c>
    </row>
    <row r="776" spans="1:8" x14ac:dyDescent="0.35">
      <c r="A776" s="12" t="s">
        <v>146</v>
      </c>
      <c r="B776" s="12">
        <v>0.9</v>
      </c>
      <c r="C776" s="12">
        <v>2.1</v>
      </c>
      <c r="D776" s="12" t="s">
        <v>135</v>
      </c>
      <c r="E776" s="12"/>
      <c r="F776" s="12">
        <f t="shared" si="50"/>
        <v>0</v>
      </c>
      <c r="G776" s="1"/>
      <c r="H776" s="4">
        <f t="shared" si="51"/>
        <v>0</v>
      </c>
    </row>
    <row r="777" spans="1:8" x14ac:dyDescent="0.35">
      <c r="A777" s="12" t="s">
        <v>162</v>
      </c>
      <c r="B777" s="12">
        <v>0.6</v>
      </c>
      <c r="C777" s="12">
        <v>1.2</v>
      </c>
      <c r="D777" s="12" t="s">
        <v>163</v>
      </c>
      <c r="E777" s="12"/>
      <c r="F777" s="12">
        <f t="shared" si="50"/>
        <v>0</v>
      </c>
      <c r="G777" s="1"/>
      <c r="H777" s="4">
        <f t="shared" si="51"/>
        <v>0</v>
      </c>
    </row>
    <row r="778" spans="1:8" x14ac:dyDescent="0.35">
      <c r="A778" s="1"/>
      <c r="B778" s="12">
        <v>1.6</v>
      </c>
      <c r="C778" s="12">
        <v>2.1</v>
      </c>
      <c r="D778" s="12" t="s">
        <v>138</v>
      </c>
      <c r="E778" s="12">
        <v>1</v>
      </c>
      <c r="F778" s="12">
        <f>+E778*C778*B778</f>
        <v>3.3600000000000003</v>
      </c>
      <c r="G778" s="1"/>
      <c r="H778" s="4">
        <f t="shared" si="51"/>
        <v>1.6</v>
      </c>
    </row>
    <row r="779" spans="1:8" x14ac:dyDescent="0.35">
      <c r="A779" s="1"/>
      <c r="B779" s="12">
        <v>0.9</v>
      </c>
      <c r="C779" s="12">
        <v>2.1</v>
      </c>
      <c r="D779" s="12" t="s">
        <v>145</v>
      </c>
      <c r="E779" s="12">
        <v>1</v>
      </c>
      <c r="F779" s="12">
        <f>+E779*C779*B779</f>
        <v>1.8900000000000001</v>
      </c>
      <c r="G779" s="1"/>
      <c r="H779" s="4">
        <f t="shared" si="51"/>
        <v>0.9</v>
      </c>
    </row>
    <row r="780" spans="1:8" x14ac:dyDescent="0.35">
      <c r="A780" s="1"/>
      <c r="B780" s="1"/>
      <c r="C780" s="1"/>
      <c r="D780" s="1"/>
      <c r="E780" s="1"/>
      <c r="F780" s="1"/>
      <c r="G780" s="1"/>
      <c r="H780" s="4">
        <f>SUM(H767:H779)</f>
        <v>30.3</v>
      </c>
    </row>
    <row r="781" spans="1:8" x14ac:dyDescent="0.35">
      <c r="A781" s="1"/>
      <c r="B781" s="1"/>
      <c r="C781" s="1"/>
      <c r="D781" s="1"/>
      <c r="E781" s="1"/>
      <c r="F781" s="1"/>
      <c r="G781" s="1"/>
      <c r="H781" s="4">
        <f>H780*0.2</f>
        <v>6.0600000000000005</v>
      </c>
    </row>
    <row r="782" spans="1:8" x14ac:dyDescent="0.35">
      <c r="A782" s="1" t="s">
        <v>147</v>
      </c>
      <c r="B782" s="1"/>
      <c r="C782" s="1"/>
      <c r="D782" s="1">
        <f>(F771+F775)*2</f>
        <v>17.64</v>
      </c>
      <c r="E782" s="1" t="s">
        <v>16</v>
      </c>
      <c r="F782" s="1"/>
      <c r="G782" s="1"/>
    </row>
    <row r="783" spans="1:8" x14ac:dyDescent="0.35">
      <c r="A783" s="1" t="s">
        <v>149</v>
      </c>
      <c r="B783" s="1"/>
      <c r="C783" s="1"/>
      <c r="D783" s="1">
        <f>(F768+F772+F777)*2</f>
        <v>6.7200000000000006</v>
      </c>
      <c r="E783" s="1" t="s">
        <v>16</v>
      </c>
      <c r="F783" s="1"/>
      <c r="G783" s="1"/>
    </row>
    <row r="784" spans="1:8" x14ac:dyDescent="0.35">
      <c r="A784" s="1" t="s">
        <v>150</v>
      </c>
      <c r="B784" s="1"/>
      <c r="C784" s="1"/>
      <c r="D784" s="1">
        <f>F755+F756+F757+F750+F751+F752+F753+F754</f>
        <v>8.4</v>
      </c>
      <c r="E784" s="1" t="s">
        <v>16</v>
      </c>
      <c r="F784" s="1"/>
      <c r="G784" s="1"/>
    </row>
    <row r="785" spans="1:7" x14ac:dyDescent="0.35">
      <c r="A785" s="1" t="s">
        <v>151</v>
      </c>
      <c r="B785" s="1"/>
      <c r="C785" s="1"/>
      <c r="D785" s="1">
        <f>F758+F759+F760+F761</f>
        <v>8</v>
      </c>
      <c r="E785" s="1" t="s">
        <v>16</v>
      </c>
      <c r="F785" s="1"/>
      <c r="G785" s="1"/>
    </row>
    <row r="786" spans="1:7" x14ac:dyDescent="0.35">
      <c r="A786" s="1" t="s">
        <v>272</v>
      </c>
      <c r="D786" s="4">
        <f>F763</f>
        <v>4</v>
      </c>
      <c r="E786" s="4" t="s">
        <v>16</v>
      </c>
    </row>
    <row r="787" spans="1:7" x14ac:dyDescent="0.35">
      <c r="A787" s="1"/>
    </row>
    <row r="788" spans="1:7" x14ac:dyDescent="0.35">
      <c r="A788" s="2" t="s">
        <v>109</v>
      </c>
      <c r="B788" s="1"/>
      <c r="C788" s="1"/>
      <c r="D788" s="1"/>
      <c r="E788" s="1"/>
      <c r="F788" s="1"/>
    </row>
    <row r="789" spans="1:7" x14ac:dyDescent="0.35">
      <c r="A789" s="1" t="s">
        <v>154</v>
      </c>
      <c r="B789" s="1"/>
      <c r="C789" s="1"/>
      <c r="D789" s="1"/>
      <c r="E789" s="1"/>
      <c r="F789" s="1"/>
    </row>
    <row r="790" spans="1:7" x14ac:dyDescent="0.35">
      <c r="A790" s="12" t="s">
        <v>27</v>
      </c>
      <c r="B790" s="12" t="s">
        <v>156</v>
      </c>
      <c r="C790" s="12" t="s">
        <v>157</v>
      </c>
      <c r="D790" s="12" t="s">
        <v>148</v>
      </c>
      <c r="E790" s="1"/>
      <c r="F790" s="1"/>
    </row>
    <row r="791" spans="1:7" x14ac:dyDescent="0.35">
      <c r="A791" s="12">
        <v>0.62</v>
      </c>
      <c r="B791" s="12">
        <v>0.5</v>
      </c>
      <c r="C791" s="12">
        <v>2</v>
      </c>
      <c r="D791" s="12">
        <f>A791*B791*C791</f>
        <v>0.62</v>
      </c>
      <c r="E791" s="1"/>
      <c r="F791" s="1"/>
    </row>
    <row r="792" spans="1:7" x14ac:dyDescent="0.35">
      <c r="A792" s="12"/>
      <c r="B792" s="12"/>
      <c r="C792" s="12"/>
      <c r="D792" s="12">
        <f t="shared" ref="D792" si="52">A792*B792*C792</f>
        <v>0</v>
      </c>
      <c r="E792" s="1"/>
      <c r="F792" s="1"/>
    </row>
    <row r="793" spans="1:7" x14ac:dyDescent="0.35">
      <c r="A793" s="225" t="s">
        <v>37</v>
      </c>
      <c r="B793" s="226"/>
      <c r="C793" s="227"/>
      <c r="D793" s="12">
        <f>SUM(D791:D792)</f>
        <v>0.62</v>
      </c>
      <c r="E793" s="1"/>
      <c r="F793" s="1"/>
    </row>
    <row r="794" spans="1:7" x14ac:dyDescent="0.35">
      <c r="A794" s="1"/>
      <c r="B794" s="1"/>
      <c r="C794" s="1"/>
      <c r="D794" s="1"/>
      <c r="E794" s="1"/>
      <c r="F794" s="1"/>
    </row>
    <row r="795" spans="1:7" x14ac:dyDescent="0.35">
      <c r="A795" s="1" t="s">
        <v>160</v>
      </c>
      <c r="B795" s="1"/>
      <c r="C795" s="1"/>
      <c r="D795" s="1"/>
      <c r="E795" s="1"/>
      <c r="F795" s="1"/>
    </row>
    <row r="796" spans="1:7" x14ac:dyDescent="0.35">
      <c r="A796" s="12" t="s">
        <v>27</v>
      </c>
      <c r="B796" s="12" t="s">
        <v>156</v>
      </c>
      <c r="C796" s="12" t="s">
        <v>157</v>
      </c>
      <c r="D796" s="12" t="s">
        <v>148</v>
      </c>
      <c r="E796" s="1"/>
      <c r="F796" s="1"/>
    </row>
    <row r="797" spans="1:7" x14ac:dyDescent="0.35">
      <c r="A797" s="12">
        <v>1.84</v>
      </c>
      <c r="B797" s="12">
        <v>2.8</v>
      </c>
      <c r="C797" s="12">
        <v>1</v>
      </c>
      <c r="D797" s="12">
        <f>A797*B797*C797</f>
        <v>5.1520000000000001</v>
      </c>
      <c r="E797" s="1"/>
      <c r="F797" s="1"/>
    </row>
    <row r="798" spans="1:7" x14ac:dyDescent="0.35">
      <c r="A798" s="12">
        <f>1.4+1.95+5.9</f>
        <v>9.25</v>
      </c>
      <c r="B798" s="12">
        <v>2.8</v>
      </c>
      <c r="C798" s="12">
        <v>1</v>
      </c>
      <c r="D798" s="12">
        <f t="shared" ref="D798:D799" si="53">A798*B798*C798</f>
        <v>25.9</v>
      </c>
      <c r="E798" s="1"/>
      <c r="F798" s="1"/>
    </row>
    <row r="799" spans="1:7" ht="19" customHeight="1" x14ac:dyDescent="0.35">
      <c r="A799" s="12"/>
      <c r="B799" s="12"/>
      <c r="C799" s="12"/>
      <c r="D799" s="12">
        <f t="shared" si="53"/>
        <v>0</v>
      </c>
      <c r="E799" s="1"/>
      <c r="F799" s="1"/>
    </row>
    <row r="800" spans="1:7" x14ac:dyDescent="0.35">
      <c r="A800" s="225" t="s">
        <v>37</v>
      </c>
      <c r="B800" s="226"/>
      <c r="C800" s="227"/>
      <c r="D800" s="12">
        <f>SUM(D797:D799)</f>
        <v>31.052</v>
      </c>
      <c r="E800" s="1"/>
      <c r="F800" s="1"/>
    </row>
    <row r="801" spans="1:6" x14ac:dyDescent="0.35">
      <c r="A801" s="1"/>
      <c r="B801" s="1"/>
      <c r="C801" s="1"/>
      <c r="D801" s="1"/>
      <c r="E801" s="1"/>
      <c r="F801" s="1"/>
    </row>
    <row r="802" spans="1:6" x14ac:dyDescent="0.35">
      <c r="A802" s="1" t="s">
        <v>155</v>
      </c>
      <c r="B802" s="1"/>
      <c r="C802" s="1"/>
      <c r="D802" s="1"/>
      <c r="E802" s="1"/>
      <c r="F802" s="1"/>
    </row>
    <row r="803" spans="1:6" x14ac:dyDescent="0.35">
      <c r="A803" s="12" t="s">
        <v>27</v>
      </c>
      <c r="B803" s="12" t="s">
        <v>83</v>
      </c>
      <c r="C803" s="12" t="s">
        <v>157</v>
      </c>
      <c r="D803" s="12" t="s">
        <v>148</v>
      </c>
      <c r="E803" s="1"/>
      <c r="F803" s="1"/>
    </row>
    <row r="804" spans="1:6" x14ac:dyDescent="0.35">
      <c r="A804" s="12">
        <v>2.5</v>
      </c>
      <c r="B804" s="12">
        <v>0.62</v>
      </c>
      <c r="C804" s="12">
        <v>2</v>
      </c>
      <c r="D804" s="12">
        <f>A804*B804*C804</f>
        <v>3.1</v>
      </c>
      <c r="E804" s="1"/>
      <c r="F804" s="1"/>
    </row>
    <row r="805" spans="1:6" x14ac:dyDescent="0.35">
      <c r="A805" s="12">
        <v>1.25</v>
      </c>
      <c r="B805" s="12">
        <v>0.62</v>
      </c>
      <c r="C805" s="12">
        <v>1</v>
      </c>
      <c r="D805" s="12">
        <f t="shared" ref="D805:D809" si="54">A805*B805*C805</f>
        <v>0.77500000000000002</v>
      </c>
      <c r="E805" s="1"/>
      <c r="F805" s="1"/>
    </row>
    <row r="806" spans="1:6" x14ac:dyDescent="0.35">
      <c r="A806" s="12">
        <v>3.65</v>
      </c>
      <c r="B806" s="12">
        <v>0.62</v>
      </c>
      <c r="C806" s="12">
        <v>2</v>
      </c>
      <c r="D806" s="12">
        <f t="shared" si="54"/>
        <v>4.5259999999999998</v>
      </c>
      <c r="E806" s="1"/>
      <c r="F806" s="1"/>
    </row>
    <row r="807" spans="1:6" x14ac:dyDescent="0.35">
      <c r="A807" s="12">
        <v>1.2</v>
      </c>
      <c r="B807" s="12">
        <v>0.62</v>
      </c>
      <c r="C807" s="12">
        <v>1</v>
      </c>
      <c r="D807" s="12">
        <f t="shared" si="54"/>
        <v>0.74399999999999999</v>
      </c>
      <c r="E807" s="1"/>
      <c r="F807" s="1"/>
    </row>
    <row r="808" spans="1:6" x14ac:dyDescent="0.35">
      <c r="A808" s="12">
        <v>2.85</v>
      </c>
      <c r="B808" s="12">
        <v>0.62</v>
      </c>
      <c r="C808" s="12">
        <v>1</v>
      </c>
      <c r="D808" s="12">
        <f t="shared" si="54"/>
        <v>1.7670000000000001</v>
      </c>
      <c r="E808" s="1"/>
      <c r="F808" s="1"/>
    </row>
    <row r="809" spans="1:6" x14ac:dyDescent="0.35">
      <c r="A809" s="12">
        <v>3.75</v>
      </c>
      <c r="B809" s="12">
        <v>0.55000000000000004</v>
      </c>
      <c r="C809" s="12">
        <v>1</v>
      </c>
      <c r="D809" s="12">
        <f t="shared" si="54"/>
        <v>2.0625</v>
      </c>
      <c r="E809" s="1"/>
      <c r="F809" s="1"/>
    </row>
    <row r="810" spans="1:6" x14ac:dyDescent="0.35">
      <c r="A810" s="12">
        <v>1.2</v>
      </c>
      <c r="B810" s="12">
        <v>0.62</v>
      </c>
      <c r="C810" s="12">
        <v>1</v>
      </c>
      <c r="D810" s="12">
        <f t="shared" ref="D810" si="55">A810*B810*C810</f>
        <v>0.74399999999999999</v>
      </c>
      <c r="E810" s="1"/>
      <c r="F810" s="1"/>
    </row>
    <row r="811" spans="1:6" x14ac:dyDescent="0.35">
      <c r="A811" s="225" t="s">
        <v>37</v>
      </c>
      <c r="B811" s="226"/>
      <c r="C811" s="227"/>
      <c r="D811" s="12">
        <f>SUM(D804:D810)</f>
        <v>13.718499999999999</v>
      </c>
      <c r="E811" s="1"/>
      <c r="F811" s="1"/>
    </row>
    <row r="812" spans="1:6" x14ac:dyDescent="0.35">
      <c r="A812" s="1"/>
      <c r="B812" s="1"/>
      <c r="C812" s="1"/>
      <c r="D812" s="1"/>
      <c r="E812" s="1"/>
      <c r="F812" s="1"/>
    </row>
    <row r="813" spans="1:6" x14ac:dyDescent="0.35">
      <c r="A813" s="1" t="s">
        <v>161</v>
      </c>
      <c r="B813" s="1"/>
      <c r="C813" s="1">
        <f>A804+A805+A806+A807+A808+A809+A810+2*B804*(C804+C805+C806+C807+C808+C809+C810)</f>
        <v>27.56</v>
      </c>
      <c r="D813" s="1" t="s">
        <v>92</v>
      </c>
      <c r="E813" s="1"/>
      <c r="F813" s="1"/>
    </row>
    <row r="814" spans="1:6" x14ac:dyDescent="0.35">
      <c r="A814" s="1"/>
      <c r="B814" s="1"/>
      <c r="C814" s="1"/>
      <c r="D814" s="1"/>
      <c r="E814" s="1"/>
      <c r="F814" s="1"/>
    </row>
    <row r="815" spans="1:6" x14ac:dyDescent="0.35">
      <c r="A815" s="2" t="s">
        <v>107</v>
      </c>
    </row>
    <row r="816" spans="1:6" x14ac:dyDescent="0.35">
      <c r="A816" s="1"/>
    </row>
    <row r="817" spans="1:4" x14ac:dyDescent="0.35">
      <c r="A817" s="1" t="s">
        <v>273</v>
      </c>
      <c r="B817" s="1"/>
    </row>
    <row r="818" spans="1:4" x14ac:dyDescent="0.35">
      <c r="A818" s="1" t="s">
        <v>274</v>
      </c>
      <c r="B818" s="4">
        <f>5*C820</f>
        <v>135</v>
      </c>
      <c r="C818" s="4" t="s">
        <v>92</v>
      </c>
    </row>
    <row r="819" spans="1:4" x14ac:dyDescent="0.35">
      <c r="A819" s="1"/>
      <c r="B819" s="1"/>
    </row>
    <row r="820" spans="1:4" x14ac:dyDescent="0.35">
      <c r="A820" s="1" t="s">
        <v>166</v>
      </c>
      <c r="C820" s="4">
        <v>27</v>
      </c>
      <c r="D820" s="4" t="s">
        <v>167</v>
      </c>
    </row>
    <row r="821" spans="1:4" x14ac:dyDescent="0.35">
      <c r="A821" s="1"/>
    </row>
    <row r="822" spans="1:4" x14ac:dyDescent="0.35">
      <c r="A822" s="1" t="s">
        <v>168</v>
      </c>
    </row>
    <row r="823" spans="1:4" x14ac:dyDescent="0.35">
      <c r="A823" s="12" t="s">
        <v>169</v>
      </c>
      <c r="B823" s="5" t="s">
        <v>170</v>
      </c>
    </row>
    <row r="824" spans="1:4" x14ac:dyDescent="0.35">
      <c r="A824" s="12">
        <v>40</v>
      </c>
      <c r="B824" s="5">
        <v>18</v>
      </c>
    </row>
    <row r="825" spans="1:4" x14ac:dyDescent="0.35">
      <c r="A825" s="12">
        <v>50</v>
      </c>
      <c r="B825" s="5">
        <f>8+5</f>
        <v>13</v>
      </c>
    </row>
    <row r="826" spans="1:4" x14ac:dyDescent="0.35">
      <c r="A826" s="12">
        <v>100</v>
      </c>
      <c r="B826" s="5">
        <v>4</v>
      </c>
    </row>
    <row r="827" spans="1:4" x14ac:dyDescent="0.35">
      <c r="A827" s="1"/>
    </row>
    <row r="828" spans="1:4" x14ac:dyDescent="0.35">
      <c r="A828" s="1" t="s">
        <v>171</v>
      </c>
    </row>
    <row r="829" spans="1:4" x14ac:dyDescent="0.35">
      <c r="A829" s="5" t="s">
        <v>22</v>
      </c>
      <c r="B829" s="5" t="s">
        <v>20</v>
      </c>
    </row>
    <row r="830" spans="1:4" x14ac:dyDescent="0.35">
      <c r="A830" s="5">
        <v>0.88</v>
      </c>
      <c r="B830" s="5">
        <v>6</v>
      </c>
    </row>
    <row r="832" spans="1:4" x14ac:dyDescent="0.35">
      <c r="A832" s="1" t="s">
        <v>172</v>
      </c>
    </row>
    <row r="833" spans="1:3" x14ac:dyDescent="0.35">
      <c r="A833" s="221"/>
      <c r="B833" s="221"/>
      <c r="C833" s="5" t="s">
        <v>20</v>
      </c>
    </row>
    <row r="834" spans="1:3" x14ac:dyDescent="0.35">
      <c r="A834" s="222" t="s">
        <v>173</v>
      </c>
      <c r="B834" s="222"/>
      <c r="C834" s="5">
        <v>4</v>
      </c>
    </row>
    <row r="835" spans="1:3" x14ac:dyDescent="0.35">
      <c r="A835" s="222" t="s">
        <v>174</v>
      </c>
      <c r="B835" s="222"/>
      <c r="C835" s="5">
        <v>0</v>
      </c>
    </row>
    <row r="836" spans="1:3" x14ac:dyDescent="0.35">
      <c r="A836" s="222" t="s">
        <v>175</v>
      </c>
      <c r="B836" s="222"/>
      <c r="C836" s="5">
        <v>1</v>
      </c>
    </row>
    <row r="837" spans="1:3" x14ac:dyDescent="0.35">
      <c r="A837" s="222" t="s">
        <v>183</v>
      </c>
      <c r="B837" s="222"/>
      <c r="C837" s="5">
        <v>9</v>
      </c>
    </row>
    <row r="838" spans="1:3" x14ac:dyDescent="0.35">
      <c r="A838" s="222" t="s">
        <v>176</v>
      </c>
      <c r="B838" s="222"/>
      <c r="C838" s="5">
        <v>7</v>
      </c>
    </row>
    <row r="839" spans="1:3" x14ac:dyDescent="0.35">
      <c r="A839" s="222" t="s">
        <v>177</v>
      </c>
      <c r="B839" s="222"/>
      <c r="C839" s="5"/>
    </row>
    <row r="840" spans="1:3" x14ac:dyDescent="0.35">
      <c r="A840" s="222" t="s">
        <v>178</v>
      </c>
      <c r="B840" s="222"/>
      <c r="C840" s="5">
        <v>3</v>
      </c>
    </row>
    <row r="841" spans="1:3" x14ac:dyDescent="0.35">
      <c r="A841" s="222" t="s">
        <v>179</v>
      </c>
      <c r="B841" s="222"/>
      <c r="C841" s="5">
        <f>+C840</f>
        <v>3</v>
      </c>
    </row>
    <row r="842" spans="1:3" x14ac:dyDescent="0.35">
      <c r="A842" s="222" t="s">
        <v>180</v>
      </c>
      <c r="B842" s="222"/>
      <c r="C842" s="5">
        <f>+C837+C836+C838</f>
        <v>17</v>
      </c>
    </row>
    <row r="843" spans="1:3" x14ac:dyDescent="0.35">
      <c r="A843" s="222" t="s">
        <v>181</v>
      </c>
      <c r="B843" s="222"/>
      <c r="C843" s="5">
        <v>0</v>
      </c>
    </row>
    <row r="844" spans="1:3" x14ac:dyDescent="0.35">
      <c r="A844" s="222" t="s">
        <v>182</v>
      </c>
      <c r="B844" s="222"/>
      <c r="C844" s="5">
        <v>2</v>
      </c>
    </row>
    <row r="845" spans="1:3" x14ac:dyDescent="0.35">
      <c r="A845" s="9"/>
      <c r="B845" s="9"/>
    </row>
    <row r="846" spans="1:3" x14ac:dyDescent="0.35">
      <c r="A846" s="20" t="s">
        <v>221</v>
      </c>
      <c r="B846" s="9"/>
    </row>
    <row r="847" spans="1:3" x14ac:dyDescent="0.35">
      <c r="A847" s="9"/>
      <c r="B847" s="9"/>
    </row>
    <row r="848" spans="1:3" x14ac:dyDescent="0.35">
      <c r="A848" s="9"/>
      <c r="B848" s="9"/>
    </row>
    <row r="849" spans="1:4" x14ac:dyDescent="0.35">
      <c r="A849" s="9"/>
      <c r="B849" s="9"/>
    </row>
    <row r="850" spans="1:4" x14ac:dyDescent="0.35">
      <c r="A850" s="9"/>
      <c r="B850" s="9"/>
    </row>
    <row r="852" spans="1:4" x14ac:dyDescent="0.35">
      <c r="A852" s="19" t="s">
        <v>184</v>
      </c>
    </row>
    <row r="853" spans="1:4" x14ac:dyDescent="0.35">
      <c r="A853" s="1" t="s">
        <v>185</v>
      </c>
      <c r="B853" s="1"/>
      <c r="C853" s="4">
        <v>1</v>
      </c>
      <c r="D853" s="4" t="s">
        <v>186</v>
      </c>
    </row>
    <row r="854" spans="1:4" x14ac:dyDescent="0.35">
      <c r="B854" s="1"/>
    </row>
    <row r="856" spans="1:4" x14ac:dyDescent="0.35">
      <c r="A856" s="4" t="s">
        <v>196</v>
      </c>
    </row>
    <row r="857" spans="1:4" x14ac:dyDescent="0.35">
      <c r="A857" s="4" t="s">
        <v>197</v>
      </c>
    </row>
    <row r="861" spans="1:4" x14ac:dyDescent="0.35">
      <c r="A861" s="4" t="s">
        <v>198</v>
      </c>
    </row>
    <row r="862" spans="1:4" x14ac:dyDescent="0.35">
      <c r="A862" s="5"/>
      <c r="B862" s="5" t="s">
        <v>22</v>
      </c>
    </row>
    <row r="863" spans="1:4" x14ac:dyDescent="0.35">
      <c r="A863" s="5" t="s">
        <v>199</v>
      </c>
      <c r="B863" s="5"/>
    </row>
    <row r="864" spans="1:4" x14ac:dyDescent="0.35">
      <c r="A864" s="5" t="s">
        <v>200</v>
      </c>
      <c r="B864" s="5"/>
    </row>
    <row r="865" spans="1:2" x14ac:dyDescent="0.35">
      <c r="A865" s="5" t="s">
        <v>201</v>
      </c>
      <c r="B865" s="5"/>
    </row>
    <row r="866" spans="1:2" x14ac:dyDescent="0.35">
      <c r="A866" s="5" t="s">
        <v>202</v>
      </c>
      <c r="B866" s="5"/>
    </row>
    <row r="868" spans="1:2" x14ac:dyDescent="0.35">
      <c r="A868" s="4" t="s">
        <v>203</v>
      </c>
    </row>
    <row r="869" spans="1:2" x14ac:dyDescent="0.35">
      <c r="A869" s="4" t="s">
        <v>209</v>
      </c>
    </row>
    <row r="870" spans="1:2" x14ac:dyDescent="0.35">
      <c r="A870" s="1" t="s">
        <v>210</v>
      </c>
    </row>
    <row r="871" spans="1:2" x14ac:dyDescent="0.35">
      <c r="A871" s="4" t="s">
        <v>205</v>
      </c>
    </row>
    <row r="872" spans="1:2" x14ac:dyDescent="0.35">
      <c r="A872" s="4" t="s">
        <v>204</v>
      </c>
    </row>
    <row r="873" spans="1:2" x14ac:dyDescent="0.35">
      <c r="A873" s="3"/>
    </row>
    <row r="874" spans="1:2" x14ac:dyDescent="0.35">
      <c r="A874" s="2" t="s">
        <v>208</v>
      </c>
    </row>
    <row r="875" spans="1:2" x14ac:dyDescent="0.35">
      <c r="A875" s="1" t="s">
        <v>206</v>
      </c>
    </row>
    <row r="876" spans="1:2" x14ac:dyDescent="0.35">
      <c r="A876" s="4" t="s">
        <v>207</v>
      </c>
    </row>
    <row r="878" spans="1:2" x14ac:dyDescent="0.35">
      <c r="A878" s="19" t="s">
        <v>215</v>
      </c>
    </row>
    <row r="882" spans="1:4" x14ac:dyDescent="0.35">
      <c r="A882" s="2" t="s">
        <v>275</v>
      </c>
    </row>
    <row r="883" spans="1:4" s="1" customFormat="1" x14ac:dyDescent="0.35">
      <c r="A883" s="1" t="s">
        <v>276</v>
      </c>
      <c r="C883" s="1">
        <v>400</v>
      </c>
      <c r="D883" s="1" t="s">
        <v>16</v>
      </c>
    </row>
    <row r="884" spans="1:4" s="1" customFormat="1" x14ac:dyDescent="0.35">
      <c r="A884" s="1" t="s">
        <v>277</v>
      </c>
      <c r="C884" s="1">
        <f>C883</f>
        <v>400</v>
      </c>
      <c r="D884" s="1" t="s">
        <v>16</v>
      </c>
    </row>
    <row r="885" spans="1:4" s="1" customFormat="1" x14ac:dyDescent="0.35">
      <c r="A885" s="1" t="s">
        <v>278</v>
      </c>
    </row>
    <row r="886" spans="1:4" s="1" customFormat="1" x14ac:dyDescent="0.35">
      <c r="A886" s="1" t="s">
        <v>279</v>
      </c>
    </row>
    <row r="887" spans="1:4" s="1" customFormat="1" x14ac:dyDescent="0.35"/>
    <row r="888" spans="1:4" s="1" customFormat="1" x14ac:dyDescent="0.35">
      <c r="A888" s="1" t="s">
        <v>280</v>
      </c>
    </row>
    <row r="889" spans="1:4" s="1" customFormat="1" x14ac:dyDescent="0.35">
      <c r="A889" s="1" t="s">
        <v>293</v>
      </c>
    </row>
    <row r="890" spans="1:4" s="1" customFormat="1" x14ac:dyDescent="0.35">
      <c r="A890" s="12" t="s">
        <v>22</v>
      </c>
      <c r="B890" s="12" t="s">
        <v>292</v>
      </c>
      <c r="C890" s="12" t="s">
        <v>45</v>
      </c>
    </row>
    <row r="891" spans="1:4" s="1" customFormat="1" x14ac:dyDescent="0.35">
      <c r="A891" s="12">
        <f>8*4</f>
        <v>32</v>
      </c>
      <c r="B891" s="12">
        <v>0.75</v>
      </c>
      <c r="C891" s="12">
        <f>B891*A891</f>
        <v>24</v>
      </c>
    </row>
    <row r="892" spans="1:4" s="1" customFormat="1" x14ac:dyDescent="0.35">
      <c r="A892" s="12">
        <v>6</v>
      </c>
      <c r="B892" s="12">
        <v>0.5</v>
      </c>
      <c r="C892" s="12">
        <f t="shared" ref="C892:C893" si="56">B892*A892</f>
        <v>3</v>
      </c>
    </row>
    <row r="893" spans="1:4" s="1" customFormat="1" x14ac:dyDescent="0.35">
      <c r="A893" s="12">
        <v>2.6</v>
      </c>
      <c r="B893" s="12">
        <v>1</v>
      </c>
      <c r="C893" s="12">
        <f t="shared" si="56"/>
        <v>2.6</v>
      </c>
    </row>
    <row r="894" spans="1:4" s="1" customFormat="1" x14ac:dyDescent="0.35">
      <c r="A894" s="12"/>
      <c r="B894" s="12"/>
      <c r="C894" s="12">
        <f>SUM(C891:C893)</f>
        <v>29.6</v>
      </c>
    </row>
    <row r="895" spans="1:4" s="1" customFormat="1" x14ac:dyDescent="0.35"/>
    <row r="896" spans="1:4" s="1" customFormat="1" x14ac:dyDescent="0.35"/>
    <row r="897" spans="1:4" s="1" customFormat="1" x14ac:dyDescent="0.35">
      <c r="A897" s="1" t="s">
        <v>281</v>
      </c>
      <c r="B897" s="1">
        <f>C894*1.5</f>
        <v>44.400000000000006</v>
      </c>
      <c r="C897" s="1" t="s">
        <v>234</v>
      </c>
    </row>
    <row r="898" spans="1:4" s="1" customFormat="1" x14ac:dyDescent="0.35">
      <c r="A898" s="1" t="s">
        <v>282</v>
      </c>
      <c r="B898" s="1">
        <f>50*1.5</f>
        <v>75</v>
      </c>
      <c r="C898" s="1" t="s">
        <v>16</v>
      </c>
    </row>
    <row r="899" spans="1:4" s="1" customFormat="1" x14ac:dyDescent="0.35">
      <c r="A899" s="1" t="s">
        <v>283</v>
      </c>
      <c r="B899" s="1">
        <f>B898</f>
        <v>75</v>
      </c>
      <c r="C899" s="1" t="s">
        <v>16</v>
      </c>
    </row>
    <row r="900" spans="1:4" s="1" customFormat="1" x14ac:dyDescent="0.35">
      <c r="A900" s="1" t="s">
        <v>284</v>
      </c>
      <c r="B900" s="1">
        <f>B899</f>
        <v>75</v>
      </c>
      <c r="C900" s="1" t="s">
        <v>16</v>
      </c>
    </row>
    <row r="901" spans="1:4" s="1" customFormat="1" x14ac:dyDescent="0.35">
      <c r="A901" s="1" t="s">
        <v>285</v>
      </c>
      <c r="B901" s="1">
        <v>100</v>
      </c>
      <c r="C901" s="1" t="s">
        <v>92</v>
      </c>
    </row>
    <row r="902" spans="1:4" s="1" customFormat="1" x14ac:dyDescent="0.35">
      <c r="A902" s="1" t="s">
        <v>286</v>
      </c>
      <c r="B902" s="1">
        <f>B901</f>
        <v>100</v>
      </c>
      <c r="C902" s="1" t="s">
        <v>92</v>
      </c>
    </row>
    <row r="903" spans="1:4" s="1" customFormat="1" x14ac:dyDescent="0.35"/>
    <row r="904" spans="1:4" x14ac:dyDescent="0.35">
      <c r="A904" s="1" t="s">
        <v>287</v>
      </c>
      <c r="B904" s="4">
        <v>15</v>
      </c>
      <c r="C904" s="4" t="s">
        <v>92</v>
      </c>
    </row>
    <row r="905" spans="1:4" x14ac:dyDescent="0.35">
      <c r="A905" s="1" t="s">
        <v>288</v>
      </c>
      <c r="B905" s="1">
        <v>1</v>
      </c>
      <c r="C905" s="4" t="s">
        <v>294</v>
      </c>
    </row>
    <row r="906" spans="1:4" x14ac:dyDescent="0.35">
      <c r="A906" s="1" t="s">
        <v>289</v>
      </c>
      <c r="B906" s="1">
        <v>1</v>
      </c>
      <c r="C906" s="4" t="s">
        <v>294</v>
      </c>
    </row>
    <row r="907" spans="1:4" x14ac:dyDescent="0.35">
      <c r="A907" s="1"/>
      <c r="B907" s="1"/>
    </row>
    <row r="908" spans="1:4" x14ac:dyDescent="0.35">
      <c r="A908" s="1" t="s">
        <v>290</v>
      </c>
      <c r="B908" s="1"/>
      <c r="C908" s="4">
        <v>320</v>
      </c>
      <c r="D908" s="4" t="s">
        <v>16</v>
      </c>
    </row>
    <row r="909" spans="1:4" x14ac:dyDescent="0.35">
      <c r="A909" s="1"/>
      <c r="B909" s="1"/>
    </row>
    <row r="910" spans="1:4" x14ac:dyDescent="0.35">
      <c r="A910" s="1" t="s">
        <v>291</v>
      </c>
      <c r="B910" s="1">
        <f>32+44</f>
        <v>76</v>
      </c>
      <c r="C910" s="4" t="s">
        <v>92</v>
      </c>
    </row>
    <row r="911" spans="1:4" x14ac:dyDescent="0.35">
      <c r="A911" s="1"/>
      <c r="B911" s="1"/>
    </row>
    <row r="912" spans="1:4" x14ac:dyDescent="0.35">
      <c r="A912" s="1" t="s">
        <v>220</v>
      </c>
      <c r="B912" s="1">
        <v>400</v>
      </c>
      <c r="C912" s="4" t="s">
        <v>16</v>
      </c>
    </row>
    <row r="913" spans="1:3" x14ac:dyDescent="0.35">
      <c r="A913" s="1"/>
      <c r="B913" s="1"/>
    </row>
    <row r="914" spans="1:3" x14ac:dyDescent="0.35">
      <c r="A914" s="1" t="s">
        <v>219</v>
      </c>
      <c r="B914" s="1">
        <v>100</v>
      </c>
      <c r="C914" s="4" t="s">
        <v>16</v>
      </c>
    </row>
    <row r="916" spans="1:3" x14ac:dyDescent="0.35">
      <c r="A916" s="1" t="s">
        <v>295</v>
      </c>
    </row>
  </sheetData>
  <mergeCells count="65">
    <mergeCell ref="A840:B840"/>
    <mergeCell ref="A841:B841"/>
    <mergeCell ref="A842:B842"/>
    <mergeCell ref="A843:B843"/>
    <mergeCell ref="A844:B844"/>
    <mergeCell ref="A835:B835"/>
    <mergeCell ref="A836:B836"/>
    <mergeCell ref="A837:B837"/>
    <mergeCell ref="A838:B838"/>
    <mergeCell ref="A839:B839"/>
    <mergeCell ref="A793:C793"/>
    <mergeCell ref="A800:C800"/>
    <mergeCell ref="A811:C811"/>
    <mergeCell ref="A833:B833"/>
    <mergeCell ref="A834:B834"/>
    <mergeCell ref="A1:J1"/>
    <mergeCell ref="A11:B11"/>
    <mergeCell ref="A52:B52"/>
    <mergeCell ref="A53:B53"/>
    <mergeCell ref="A65:B65"/>
    <mergeCell ref="A270:B270"/>
    <mergeCell ref="A57:B57"/>
    <mergeCell ref="A344:C344"/>
    <mergeCell ref="A332:C332"/>
    <mergeCell ref="A354:C354"/>
    <mergeCell ref="A159:B159"/>
    <mergeCell ref="A214:F214"/>
    <mergeCell ref="A181:B181"/>
    <mergeCell ref="A188:B188"/>
    <mergeCell ref="A235:B235"/>
    <mergeCell ref="A258:B258"/>
    <mergeCell ref="A107:D107"/>
    <mergeCell ref="A97:B97"/>
    <mergeCell ref="A449:B449"/>
    <mergeCell ref="A385:B385"/>
    <mergeCell ref="A386:B386"/>
    <mergeCell ref="A388:B388"/>
    <mergeCell ref="A389:B389"/>
    <mergeCell ref="A390:B390"/>
    <mergeCell ref="A391:B391"/>
    <mergeCell ref="A392:B392"/>
    <mergeCell ref="A393:B393"/>
    <mergeCell ref="A383:B383"/>
    <mergeCell ref="A394:B394"/>
    <mergeCell ref="A387:B387"/>
    <mergeCell ref="A384:B384"/>
    <mergeCell ref="A598:B598"/>
    <mergeCell ref="A452:B452"/>
    <mergeCell ref="A453:B453"/>
    <mergeCell ref="A461:B461"/>
    <mergeCell ref="A468:B468"/>
    <mergeCell ref="A487:B487"/>
    <mergeCell ref="A519:C519"/>
    <mergeCell ref="A556:B556"/>
    <mergeCell ref="A570:B570"/>
    <mergeCell ref="A571:B571"/>
    <mergeCell ref="A575:B575"/>
    <mergeCell ref="A583:B583"/>
    <mergeCell ref="A718:B718"/>
    <mergeCell ref="A730:B730"/>
    <mergeCell ref="A634:B634"/>
    <mergeCell ref="A656:F656"/>
    <mergeCell ref="A628:B628"/>
    <mergeCell ref="A698:C698"/>
    <mergeCell ref="A704:B704"/>
  </mergeCells>
  <phoneticPr fontId="4" type="noConversion"/>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C57A3D-564B-4A17-9F63-AC45E7309E37}">
  <sheetPr>
    <pageSetUpPr fitToPage="1"/>
  </sheetPr>
  <dimension ref="A1:M415"/>
  <sheetViews>
    <sheetView tabSelected="1" topLeftCell="A403" zoomScale="70" zoomScaleNormal="70" workbookViewId="0">
      <selection activeCell="L409" sqref="L409"/>
    </sheetView>
  </sheetViews>
  <sheetFormatPr defaultColWidth="8.7265625" defaultRowHeight="12.5" x14ac:dyDescent="0.25"/>
  <cols>
    <col min="1" max="1" width="8.7265625" style="167"/>
    <col min="2" max="2" width="10" style="167" bestFit="1" customWidth="1"/>
    <col min="3" max="3" width="9.90625" style="167" customWidth="1"/>
    <col min="4" max="4" width="60.36328125" style="168" customWidth="1"/>
    <col min="5" max="5" width="8.7265625" style="167"/>
    <col min="6" max="6" width="10" style="187" customWidth="1"/>
    <col min="7" max="7" width="16.1796875" style="199" bestFit="1" customWidth="1"/>
    <col min="8" max="9" width="16.1796875" style="195" bestFit="1" customWidth="1"/>
    <col min="10" max="10" width="8.7265625" style="167"/>
    <col min="11" max="11" width="13.1796875" style="167" bestFit="1" customWidth="1"/>
    <col min="12" max="12" width="16.1796875" style="167" bestFit="1" customWidth="1"/>
    <col min="13" max="16384" width="8.7265625" style="167"/>
  </cols>
  <sheetData>
    <row r="1" spans="1:12" s="165" customFormat="1" ht="14.5" customHeight="1" x14ac:dyDescent="0.3">
      <c r="A1" s="233" t="s">
        <v>574</v>
      </c>
      <c r="B1" s="233"/>
      <c r="C1" s="233"/>
      <c r="D1" s="233"/>
      <c r="E1" s="233"/>
      <c r="F1" s="233"/>
      <c r="G1" s="233"/>
      <c r="H1" s="233"/>
      <c r="I1" s="233"/>
    </row>
    <row r="2" spans="1:12" s="165" customFormat="1" ht="14.5" customHeight="1" x14ac:dyDescent="0.3">
      <c r="A2" s="233" t="s">
        <v>575</v>
      </c>
      <c r="B2" s="233"/>
      <c r="C2" s="233"/>
      <c r="D2" s="233"/>
      <c r="E2" s="233"/>
      <c r="F2" s="233"/>
      <c r="G2" s="233"/>
      <c r="H2" s="233"/>
      <c r="I2" s="233"/>
    </row>
    <row r="3" spans="1:12" s="165" customFormat="1" ht="14.5" customHeight="1" x14ac:dyDescent="0.3">
      <c r="A3" s="233" t="s">
        <v>576</v>
      </c>
      <c r="B3" s="233"/>
      <c r="C3" s="233"/>
      <c r="D3" s="233"/>
      <c r="E3" s="233"/>
      <c r="F3" s="233"/>
      <c r="G3" s="233"/>
      <c r="H3" s="233"/>
      <c r="I3" s="233"/>
    </row>
    <row r="4" spans="1:12" s="165" customFormat="1" ht="13" x14ac:dyDescent="0.3">
      <c r="D4" s="166"/>
      <c r="F4" s="197"/>
      <c r="G4" s="198"/>
      <c r="H4" s="198"/>
      <c r="I4" s="198"/>
    </row>
    <row r="5" spans="1:12" x14ac:dyDescent="0.25">
      <c r="E5" s="234" t="s">
        <v>578</v>
      </c>
      <c r="F5" s="234"/>
      <c r="G5" s="234"/>
      <c r="H5" s="235" t="s">
        <v>327</v>
      </c>
      <c r="I5" s="236">
        <f>BDI!I24</f>
        <v>0.28949999999999998</v>
      </c>
    </row>
    <row r="6" spans="1:12" x14ac:dyDescent="0.25">
      <c r="E6" s="234" t="s">
        <v>577</v>
      </c>
      <c r="F6" s="234"/>
      <c r="G6" s="203" t="s">
        <v>1205</v>
      </c>
      <c r="H6" s="235"/>
      <c r="I6" s="236"/>
    </row>
    <row r="7" spans="1:12" x14ac:dyDescent="0.25">
      <c r="F7" s="200"/>
      <c r="G7" s="214"/>
      <c r="H7" s="214"/>
      <c r="I7" s="214"/>
    </row>
    <row r="8" spans="1:12" ht="26" x14ac:dyDescent="0.3">
      <c r="A8" s="169" t="s">
        <v>319</v>
      </c>
      <c r="B8" s="169" t="s">
        <v>320</v>
      </c>
      <c r="C8" s="169" t="s">
        <v>321</v>
      </c>
      <c r="D8" s="169" t="s">
        <v>322</v>
      </c>
      <c r="E8" s="169" t="s">
        <v>323</v>
      </c>
      <c r="F8" s="170" t="s">
        <v>324</v>
      </c>
      <c r="G8" s="215" t="s">
        <v>326</v>
      </c>
      <c r="H8" s="215" t="s">
        <v>325</v>
      </c>
      <c r="I8" s="215" t="s">
        <v>337</v>
      </c>
    </row>
    <row r="9" spans="1:12" s="165" customFormat="1" ht="13" x14ac:dyDescent="0.3">
      <c r="A9" s="209" t="s">
        <v>5</v>
      </c>
      <c r="B9" s="209"/>
      <c r="C9" s="209"/>
      <c r="D9" s="169" t="s">
        <v>318</v>
      </c>
      <c r="E9" s="209"/>
      <c r="F9" s="210"/>
      <c r="G9" s="211"/>
      <c r="H9" s="211"/>
      <c r="I9" s="211">
        <f>SUM(I10:I18)</f>
        <v>210283.8</v>
      </c>
      <c r="L9" s="205"/>
    </row>
    <row r="10" spans="1:12" ht="75" x14ac:dyDescent="0.25">
      <c r="A10" s="171" t="s">
        <v>2</v>
      </c>
      <c r="B10" s="171" t="s">
        <v>580</v>
      </c>
      <c r="C10" s="171" t="s">
        <v>798</v>
      </c>
      <c r="D10" s="172" t="s">
        <v>579</v>
      </c>
      <c r="E10" s="171" t="s">
        <v>323</v>
      </c>
      <c r="F10" s="174">
        <v>1</v>
      </c>
      <c r="G10" s="191">
        <v>1330.56</v>
      </c>
      <c r="H10" s="191">
        <f t="shared" ref="H10:H18" si="0">ROUND((G10*(1+$I$5)),2)</f>
        <v>1715.76</v>
      </c>
      <c r="I10" s="191">
        <f>ROUND((H10*F10),2)</f>
        <v>1715.76</v>
      </c>
      <c r="K10" s="175"/>
      <c r="L10" s="202"/>
    </row>
    <row r="11" spans="1:12" ht="40" customHeight="1" x14ac:dyDescent="0.25">
      <c r="A11" s="171" t="s">
        <v>3</v>
      </c>
      <c r="B11" s="171" t="s">
        <v>581</v>
      </c>
      <c r="C11" s="171" t="s">
        <v>798</v>
      </c>
      <c r="D11" s="172" t="s">
        <v>1173</v>
      </c>
      <c r="E11" s="171" t="s">
        <v>328</v>
      </c>
      <c r="F11" s="201">
        <v>3.0000000000000001E-3</v>
      </c>
      <c r="G11" s="194">
        <v>2024215.67</v>
      </c>
      <c r="H11" s="194">
        <f t="shared" si="0"/>
        <v>2610226.11</v>
      </c>
      <c r="I11" s="191">
        <f t="shared" ref="I11:I18" si="1">ROUND((H11*F11),2)</f>
        <v>7830.68</v>
      </c>
      <c r="K11" s="175"/>
      <c r="L11" s="202"/>
    </row>
    <row r="12" spans="1:12" ht="62.5" x14ac:dyDescent="0.25">
      <c r="A12" s="171" t="s">
        <v>4</v>
      </c>
      <c r="B12" s="171" t="s">
        <v>582</v>
      </c>
      <c r="C12" s="171" t="s">
        <v>798</v>
      </c>
      <c r="D12" s="172" t="s">
        <v>799</v>
      </c>
      <c r="E12" s="171" t="s">
        <v>329</v>
      </c>
      <c r="F12" s="174">
        <v>70</v>
      </c>
      <c r="G12" s="191">
        <v>52</v>
      </c>
      <c r="H12" s="191">
        <f t="shared" si="0"/>
        <v>67.05</v>
      </c>
      <c r="I12" s="191">
        <f t="shared" si="1"/>
        <v>4693.5</v>
      </c>
      <c r="K12" s="175"/>
      <c r="L12" s="175"/>
    </row>
    <row r="13" spans="1:12" ht="62.5" x14ac:dyDescent="0.25">
      <c r="A13" s="171" t="s">
        <v>6</v>
      </c>
      <c r="B13" s="171" t="s">
        <v>583</v>
      </c>
      <c r="C13" s="171" t="s">
        <v>798</v>
      </c>
      <c r="D13" s="172" t="s">
        <v>800</v>
      </c>
      <c r="E13" s="171" t="s">
        <v>329</v>
      </c>
      <c r="F13" s="174">
        <v>1</v>
      </c>
      <c r="G13" s="191">
        <v>143.30000000000001</v>
      </c>
      <c r="H13" s="191">
        <f t="shared" si="0"/>
        <v>184.79</v>
      </c>
      <c r="I13" s="191">
        <f t="shared" si="1"/>
        <v>184.79</v>
      </c>
      <c r="L13" s="202"/>
    </row>
    <row r="14" spans="1:12" x14ac:dyDescent="0.25">
      <c r="A14" s="171" t="s">
        <v>7</v>
      </c>
      <c r="B14" s="171" t="s">
        <v>584</v>
      </c>
      <c r="C14" s="171" t="s">
        <v>798</v>
      </c>
      <c r="D14" s="172" t="s">
        <v>801</v>
      </c>
      <c r="E14" s="171" t="s">
        <v>323</v>
      </c>
      <c r="F14" s="174">
        <v>1</v>
      </c>
      <c r="G14" s="191">
        <v>300.83999999999997</v>
      </c>
      <c r="H14" s="191">
        <f t="shared" si="0"/>
        <v>387.93</v>
      </c>
      <c r="I14" s="191">
        <f t="shared" si="1"/>
        <v>387.93</v>
      </c>
    </row>
    <row r="15" spans="1:12" ht="37.5" x14ac:dyDescent="0.25">
      <c r="A15" s="171" t="s">
        <v>314</v>
      </c>
      <c r="B15" s="171" t="s">
        <v>585</v>
      </c>
      <c r="C15" s="171" t="s">
        <v>798</v>
      </c>
      <c r="D15" s="172" t="s">
        <v>802</v>
      </c>
      <c r="E15" s="171" t="s">
        <v>323</v>
      </c>
      <c r="F15" s="174">
        <v>1</v>
      </c>
      <c r="G15" s="191">
        <v>1579.7</v>
      </c>
      <c r="H15" s="191">
        <f t="shared" si="0"/>
        <v>2037.02</v>
      </c>
      <c r="I15" s="191">
        <f t="shared" si="1"/>
        <v>2037.02</v>
      </c>
    </row>
    <row r="16" spans="1:12" ht="100" x14ac:dyDescent="0.25">
      <c r="A16" s="171" t="s">
        <v>315</v>
      </c>
      <c r="B16" s="171" t="s">
        <v>586</v>
      </c>
      <c r="C16" s="171" t="s">
        <v>798</v>
      </c>
      <c r="D16" s="172" t="s">
        <v>803</v>
      </c>
      <c r="E16" s="171" t="s">
        <v>330</v>
      </c>
      <c r="F16" s="174">
        <v>12</v>
      </c>
      <c r="G16" s="191">
        <v>1196.3</v>
      </c>
      <c r="H16" s="191">
        <f t="shared" si="0"/>
        <v>1542.63</v>
      </c>
      <c r="I16" s="191">
        <f t="shared" si="1"/>
        <v>18511.560000000001</v>
      </c>
    </row>
    <row r="17" spans="1:12" ht="37.5" x14ac:dyDescent="0.25">
      <c r="A17" s="171" t="s">
        <v>316</v>
      </c>
      <c r="B17" s="171" t="s">
        <v>587</v>
      </c>
      <c r="C17" s="171" t="s">
        <v>798</v>
      </c>
      <c r="D17" s="172" t="s">
        <v>804</v>
      </c>
      <c r="E17" s="171" t="s">
        <v>330</v>
      </c>
      <c r="F17" s="174">
        <v>12</v>
      </c>
      <c r="G17" s="191">
        <v>900</v>
      </c>
      <c r="H17" s="191">
        <f t="shared" si="0"/>
        <v>1160.55</v>
      </c>
      <c r="I17" s="191">
        <f t="shared" si="1"/>
        <v>13926.6</v>
      </c>
    </row>
    <row r="18" spans="1:12" s="178" customFormat="1" x14ac:dyDescent="0.25">
      <c r="A18" s="176" t="s">
        <v>317</v>
      </c>
      <c r="B18" s="176" t="s">
        <v>1044</v>
      </c>
      <c r="C18" s="176" t="s">
        <v>1044</v>
      </c>
      <c r="D18" s="177" t="s">
        <v>311</v>
      </c>
      <c r="E18" s="176" t="s">
        <v>330</v>
      </c>
      <c r="F18" s="173">
        <v>12</v>
      </c>
      <c r="G18" s="194">
        <f>CPU!H9</f>
        <v>10404.289999999999</v>
      </c>
      <c r="H18" s="191">
        <f t="shared" si="0"/>
        <v>13416.33</v>
      </c>
      <c r="I18" s="191">
        <f t="shared" si="1"/>
        <v>160995.96</v>
      </c>
    </row>
    <row r="19" spans="1:12" s="165" customFormat="1" ht="13" x14ac:dyDescent="0.3">
      <c r="A19" s="209" t="s">
        <v>8</v>
      </c>
      <c r="B19" s="209"/>
      <c r="C19" s="209"/>
      <c r="D19" s="169" t="s">
        <v>313</v>
      </c>
      <c r="E19" s="209"/>
      <c r="F19" s="210"/>
      <c r="G19" s="211"/>
      <c r="H19" s="211"/>
      <c r="I19" s="211">
        <f>SUM(I20:I235)</f>
        <v>1385197.9800000009</v>
      </c>
      <c r="L19" s="205"/>
    </row>
    <row r="20" spans="1:12" s="165" customFormat="1" ht="13" x14ac:dyDescent="0.3">
      <c r="A20" s="206" t="s">
        <v>9</v>
      </c>
      <c r="B20" s="206"/>
      <c r="C20" s="206"/>
      <c r="D20" s="204" t="s">
        <v>312</v>
      </c>
      <c r="E20" s="206"/>
      <c r="F20" s="207"/>
      <c r="G20" s="208"/>
      <c r="H20" s="212"/>
      <c r="I20" s="208"/>
    </row>
    <row r="21" spans="1:12" ht="25" x14ac:dyDescent="0.25">
      <c r="A21" s="171" t="s">
        <v>12</v>
      </c>
      <c r="B21" s="171" t="s">
        <v>588</v>
      </c>
      <c r="C21" s="171" t="s">
        <v>798</v>
      </c>
      <c r="D21" s="172" t="s">
        <v>805</v>
      </c>
      <c r="E21" s="171" t="s">
        <v>331</v>
      </c>
      <c r="F21" s="174">
        <v>400</v>
      </c>
      <c r="G21" s="191">
        <v>2.19</v>
      </c>
      <c r="H21" s="191">
        <f t="shared" ref="H21:H30" si="2">ROUND((G21*(1+$I$5)),2)</f>
        <v>2.82</v>
      </c>
      <c r="I21" s="191">
        <f t="shared" ref="I21" si="3">ROUND((H21*F21),2)</f>
        <v>1128</v>
      </c>
    </row>
    <row r="22" spans="1:12" ht="37.5" x14ac:dyDescent="0.25">
      <c r="A22" s="171" t="s">
        <v>13</v>
      </c>
      <c r="B22" s="171" t="s">
        <v>589</v>
      </c>
      <c r="C22" s="171" t="s">
        <v>798</v>
      </c>
      <c r="D22" s="172" t="s">
        <v>806</v>
      </c>
      <c r="E22" s="171" t="s">
        <v>323</v>
      </c>
      <c r="F22" s="174">
        <v>10</v>
      </c>
      <c r="G22" s="191">
        <v>51.76</v>
      </c>
      <c r="H22" s="191">
        <f t="shared" si="2"/>
        <v>66.739999999999995</v>
      </c>
      <c r="I22" s="191">
        <f t="shared" ref="I22:I30" si="4">ROUND((H22*F22),2)</f>
        <v>667.4</v>
      </c>
    </row>
    <row r="23" spans="1:12" ht="37.5" x14ac:dyDescent="0.25">
      <c r="A23" s="171" t="s">
        <v>14</v>
      </c>
      <c r="B23" s="171" t="s">
        <v>590</v>
      </c>
      <c r="C23" s="171" t="s">
        <v>798</v>
      </c>
      <c r="D23" s="172" t="s">
        <v>807</v>
      </c>
      <c r="E23" s="171" t="s">
        <v>331</v>
      </c>
      <c r="F23" s="174">
        <f>F21</f>
        <v>400</v>
      </c>
      <c r="G23" s="191">
        <v>4.95</v>
      </c>
      <c r="H23" s="191">
        <f t="shared" si="2"/>
        <v>6.38</v>
      </c>
      <c r="I23" s="191">
        <f t="shared" si="4"/>
        <v>2552</v>
      </c>
    </row>
    <row r="24" spans="1:12" x14ac:dyDescent="0.25">
      <c r="A24" s="171" t="s">
        <v>15</v>
      </c>
      <c r="B24" s="171"/>
      <c r="C24" s="171"/>
      <c r="D24" s="172" t="s">
        <v>332</v>
      </c>
      <c r="E24" s="171"/>
      <c r="F24" s="174"/>
      <c r="G24" s="191">
        <f>ROUND((F24*(1+$I$5)),2)</f>
        <v>0</v>
      </c>
      <c r="H24" s="191">
        <f t="shared" si="2"/>
        <v>0</v>
      </c>
      <c r="I24" s="191">
        <f t="shared" si="4"/>
        <v>0</v>
      </c>
    </row>
    <row r="25" spans="1:12" ht="50" x14ac:dyDescent="0.25">
      <c r="A25" s="171" t="s">
        <v>296</v>
      </c>
      <c r="B25" s="171" t="s">
        <v>591</v>
      </c>
      <c r="C25" s="171" t="s">
        <v>798</v>
      </c>
      <c r="D25" s="172" t="s">
        <v>808</v>
      </c>
      <c r="E25" s="171" t="s">
        <v>333</v>
      </c>
      <c r="F25" s="174">
        <f>7*3*0.15</f>
        <v>3.15</v>
      </c>
      <c r="G25" s="191">
        <v>96.52</v>
      </c>
      <c r="H25" s="191">
        <f t="shared" si="2"/>
        <v>124.46</v>
      </c>
      <c r="I25" s="191">
        <f t="shared" si="4"/>
        <v>392.05</v>
      </c>
    </row>
    <row r="26" spans="1:12" ht="37.5" x14ac:dyDescent="0.25">
      <c r="A26" s="171" t="s">
        <v>297</v>
      </c>
      <c r="B26" s="171" t="s">
        <v>592</v>
      </c>
      <c r="C26" s="171" t="s">
        <v>798</v>
      </c>
      <c r="D26" s="172" t="s">
        <v>809</v>
      </c>
      <c r="E26" s="171" t="s">
        <v>333</v>
      </c>
      <c r="F26" s="174">
        <v>1</v>
      </c>
      <c r="G26" s="191">
        <v>441.24</v>
      </c>
      <c r="H26" s="191">
        <f t="shared" si="2"/>
        <v>568.98</v>
      </c>
      <c r="I26" s="191">
        <f t="shared" si="4"/>
        <v>568.98</v>
      </c>
    </row>
    <row r="27" spans="1:12" ht="37.5" x14ac:dyDescent="0.25">
      <c r="A27" s="171" t="s">
        <v>298</v>
      </c>
      <c r="B27" s="171" t="s">
        <v>593</v>
      </c>
      <c r="C27" s="171" t="s">
        <v>798</v>
      </c>
      <c r="D27" s="172" t="s">
        <v>810</v>
      </c>
      <c r="E27" s="171" t="s">
        <v>333</v>
      </c>
      <c r="F27" s="174">
        <f>7*1.5*0.1</f>
        <v>1.05</v>
      </c>
      <c r="G27" s="191">
        <v>267.42</v>
      </c>
      <c r="H27" s="191">
        <f t="shared" si="2"/>
        <v>344.84</v>
      </c>
      <c r="I27" s="191">
        <f t="shared" si="4"/>
        <v>362.08</v>
      </c>
    </row>
    <row r="28" spans="1:12" ht="37.5" x14ac:dyDescent="0.25">
      <c r="A28" s="171" t="s">
        <v>299</v>
      </c>
      <c r="B28" s="171" t="s">
        <v>594</v>
      </c>
      <c r="C28" s="171" t="s">
        <v>798</v>
      </c>
      <c r="D28" s="172" t="s">
        <v>811</v>
      </c>
      <c r="E28" s="171" t="s">
        <v>333</v>
      </c>
      <c r="F28" s="174">
        <f>F27+F26+F25+F21*0.2</f>
        <v>85.2</v>
      </c>
      <c r="G28" s="191">
        <v>36.729999999999997</v>
      </c>
      <c r="H28" s="191">
        <f t="shared" si="2"/>
        <v>47.36</v>
      </c>
      <c r="I28" s="191">
        <f t="shared" si="4"/>
        <v>4035.07</v>
      </c>
    </row>
    <row r="29" spans="1:12" ht="25" x14ac:dyDescent="0.25">
      <c r="A29" s="171" t="s">
        <v>300</v>
      </c>
      <c r="B29" s="171" t="s">
        <v>595</v>
      </c>
      <c r="C29" s="171" t="s">
        <v>798</v>
      </c>
      <c r="D29" s="172" t="s">
        <v>812</v>
      </c>
      <c r="E29" s="171" t="s">
        <v>333</v>
      </c>
      <c r="F29" s="174">
        <f>F28</f>
        <v>85.2</v>
      </c>
      <c r="G29" s="191">
        <v>37.06</v>
      </c>
      <c r="H29" s="191">
        <f t="shared" si="2"/>
        <v>47.79</v>
      </c>
      <c r="I29" s="191">
        <f t="shared" si="4"/>
        <v>4071.71</v>
      </c>
    </row>
    <row r="30" spans="1:12" ht="50" x14ac:dyDescent="0.25">
      <c r="A30" s="171" t="s">
        <v>301</v>
      </c>
      <c r="B30" s="171" t="s">
        <v>596</v>
      </c>
      <c r="C30" s="171" t="s">
        <v>798</v>
      </c>
      <c r="D30" s="172" t="s">
        <v>813</v>
      </c>
      <c r="E30" s="171" t="s">
        <v>334</v>
      </c>
      <c r="F30" s="174">
        <f>F29*3</f>
        <v>255.60000000000002</v>
      </c>
      <c r="G30" s="191">
        <v>2.5</v>
      </c>
      <c r="H30" s="191">
        <f t="shared" si="2"/>
        <v>3.22</v>
      </c>
      <c r="I30" s="191">
        <f t="shared" si="4"/>
        <v>823.03</v>
      </c>
    </row>
    <row r="31" spans="1:12" s="165" customFormat="1" ht="13" x14ac:dyDescent="0.3">
      <c r="A31" s="206" t="s">
        <v>1206</v>
      </c>
      <c r="B31" s="206"/>
      <c r="C31" s="206"/>
      <c r="D31" s="204" t="s">
        <v>302</v>
      </c>
      <c r="E31" s="206"/>
      <c r="F31" s="207"/>
      <c r="G31" s="208"/>
      <c r="H31" s="212"/>
      <c r="I31" s="208"/>
    </row>
    <row r="32" spans="1:12" ht="50" x14ac:dyDescent="0.25">
      <c r="A32" s="171" t="s">
        <v>1207</v>
      </c>
      <c r="B32" s="171" t="s">
        <v>597</v>
      </c>
      <c r="C32" s="171" t="s">
        <v>798</v>
      </c>
      <c r="D32" s="172" t="s">
        <v>814</v>
      </c>
      <c r="E32" s="171" t="s">
        <v>335</v>
      </c>
      <c r="F32" s="174">
        <v>384.99</v>
      </c>
      <c r="G32" s="191">
        <v>42.53</v>
      </c>
      <c r="H32" s="191">
        <f t="shared" ref="H32:H39" si="5">ROUND((G32*(1+$I$5)),2)</f>
        <v>54.84</v>
      </c>
      <c r="I32" s="191">
        <f t="shared" ref="I32" si="6">ROUND((H32*F32),2)</f>
        <v>21112.85</v>
      </c>
    </row>
    <row r="33" spans="1:13" ht="25" x14ac:dyDescent="0.25">
      <c r="A33" s="171" t="s">
        <v>1208</v>
      </c>
      <c r="B33" s="171" t="s">
        <v>598</v>
      </c>
      <c r="C33" s="171" t="s">
        <v>798</v>
      </c>
      <c r="D33" s="172" t="s">
        <v>815</v>
      </c>
      <c r="E33" s="171" t="s">
        <v>333</v>
      </c>
      <c r="F33" s="174">
        <f>Memória!E9+Memória!E55</f>
        <v>55.132499999999986</v>
      </c>
      <c r="G33" s="191">
        <v>63.2</v>
      </c>
      <c r="H33" s="191">
        <f t="shared" si="5"/>
        <v>81.5</v>
      </c>
      <c r="I33" s="191">
        <f t="shared" ref="I33:I39" si="7">ROUND((H33*F33),2)</f>
        <v>4493.3</v>
      </c>
    </row>
    <row r="34" spans="1:13" ht="25" x14ac:dyDescent="0.25">
      <c r="A34" s="171" t="s">
        <v>1209</v>
      </c>
      <c r="B34" s="171" t="s">
        <v>599</v>
      </c>
      <c r="C34" s="171" t="s">
        <v>798</v>
      </c>
      <c r="D34" s="172" t="s">
        <v>816</v>
      </c>
      <c r="E34" s="171" t="s">
        <v>333</v>
      </c>
      <c r="F34" s="174">
        <f>Memória!E6+Memória!F9+Memória!F55</f>
        <v>5.4119137061435909</v>
      </c>
      <c r="G34" s="191">
        <v>535.89</v>
      </c>
      <c r="H34" s="191">
        <f t="shared" si="5"/>
        <v>691.03</v>
      </c>
      <c r="I34" s="191">
        <f t="shared" si="7"/>
        <v>3739.79</v>
      </c>
    </row>
    <row r="35" spans="1:13" ht="37.5" x14ac:dyDescent="0.25">
      <c r="A35" s="171" t="s">
        <v>1210</v>
      </c>
      <c r="B35" s="171" t="s">
        <v>600</v>
      </c>
      <c r="C35" s="171" t="s">
        <v>798</v>
      </c>
      <c r="D35" s="172" t="s">
        <v>817</v>
      </c>
      <c r="E35" s="171" t="s">
        <v>333</v>
      </c>
      <c r="F35" s="186">
        <f>Proj.Estr!R51</f>
        <v>17.268000000000001</v>
      </c>
      <c r="G35" s="191">
        <v>693.73</v>
      </c>
      <c r="H35" s="191">
        <f t="shared" si="5"/>
        <v>894.56</v>
      </c>
      <c r="I35" s="191">
        <f t="shared" si="7"/>
        <v>15447.26</v>
      </c>
      <c r="K35" s="187"/>
      <c r="L35" s="187"/>
      <c r="M35" s="187"/>
    </row>
    <row r="36" spans="1:13" ht="37.5" x14ac:dyDescent="0.25">
      <c r="A36" s="171" t="s">
        <v>1211</v>
      </c>
      <c r="B36" s="171" t="s">
        <v>601</v>
      </c>
      <c r="C36" s="171" t="s">
        <v>798</v>
      </c>
      <c r="D36" s="172" t="s">
        <v>818</v>
      </c>
      <c r="E36" s="171" t="s">
        <v>336</v>
      </c>
      <c r="F36" s="186">
        <f>Proj.Estr!S51</f>
        <v>652.79999999999995</v>
      </c>
      <c r="G36" s="191">
        <v>11.26</v>
      </c>
      <c r="H36" s="191">
        <f t="shared" si="5"/>
        <v>14.52</v>
      </c>
      <c r="I36" s="191">
        <f t="shared" si="7"/>
        <v>9478.66</v>
      </c>
    </row>
    <row r="37" spans="1:13" ht="25" x14ac:dyDescent="0.25">
      <c r="A37" s="171" t="s">
        <v>1212</v>
      </c>
      <c r="B37" s="171" t="s">
        <v>603</v>
      </c>
      <c r="C37" s="171" t="s">
        <v>798</v>
      </c>
      <c r="D37" s="172" t="s">
        <v>819</v>
      </c>
      <c r="E37" s="171" t="s">
        <v>331</v>
      </c>
      <c r="F37" s="186">
        <f>Proj.Estr!Q51</f>
        <v>61.349999999999994</v>
      </c>
      <c r="G37" s="191">
        <v>44.45</v>
      </c>
      <c r="H37" s="191">
        <f t="shared" si="5"/>
        <v>57.32</v>
      </c>
      <c r="I37" s="191">
        <f t="shared" si="7"/>
        <v>3516.58</v>
      </c>
    </row>
    <row r="38" spans="1:13" ht="25" x14ac:dyDescent="0.25">
      <c r="A38" s="171" t="s">
        <v>1213</v>
      </c>
      <c r="B38" s="171" t="s">
        <v>604</v>
      </c>
      <c r="C38" s="171" t="s">
        <v>798</v>
      </c>
      <c r="D38" s="172" t="s">
        <v>820</v>
      </c>
      <c r="E38" s="171" t="s">
        <v>333</v>
      </c>
      <c r="F38" s="174">
        <f>Memória!J9+Memória!J55</f>
        <v>23.414999999999992</v>
      </c>
      <c r="G38" s="191">
        <v>45.71</v>
      </c>
      <c r="H38" s="191">
        <f t="shared" si="5"/>
        <v>58.94</v>
      </c>
      <c r="I38" s="191">
        <f t="shared" si="7"/>
        <v>1380.08</v>
      </c>
    </row>
    <row r="39" spans="1:13" ht="50" x14ac:dyDescent="0.25">
      <c r="A39" s="171" t="s">
        <v>1214</v>
      </c>
      <c r="B39" s="171" t="s">
        <v>605</v>
      </c>
      <c r="C39" s="171" t="s">
        <v>798</v>
      </c>
      <c r="D39" s="172" t="s">
        <v>821</v>
      </c>
      <c r="E39" s="171" t="s">
        <v>331</v>
      </c>
      <c r="F39" s="174">
        <f>Memória!B61</f>
        <v>317.17499999999995</v>
      </c>
      <c r="G39" s="191">
        <v>71.86</v>
      </c>
      <c r="H39" s="191">
        <f t="shared" si="5"/>
        <v>92.66</v>
      </c>
      <c r="I39" s="191">
        <f t="shared" si="7"/>
        <v>29389.439999999999</v>
      </c>
    </row>
    <row r="40" spans="1:13" s="165" customFormat="1" ht="13" x14ac:dyDescent="0.3">
      <c r="A40" s="206" t="s">
        <v>10</v>
      </c>
      <c r="B40" s="206"/>
      <c r="C40" s="206"/>
      <c r="D40" s="204" t="s">
        <v>340</v>
      </c>
      <c r="E40" s="206"/>
      <c r="F40" s="207"/>
      <c r="G40" s="208"/>
      <c r="H40" s="212"/>
      <c r="I40" s="208"/>
    </row>
    <row r="41" spans="1:13" ht="37.5" x14ac:dyDescent="0.25">
      <c r="A41" s="171" t="s">
        <v>18</v>
      </c>
      <c r="B41" s="171" t="s">
        <v>600</v>
      </c>
      <c r="C41" s="171" t="s">
        <v>798</v>
      </c>
      <c r="D41" s="172" t="s">
        <v>817</v>
      </c>
      <c r="E41" s="171" t="s">
        <v>333</v>
      </c>
      <c r="F41" s="186">
        <f>Proj.Estr!S57</f>
        <v>65.123999999999995</v>
      </c>
      <c r="G41" s="191">
        <v>693.73</v>
      </c>
      <c r="H41" s="191">
        <f t="shared" ref="H41:H50" si="8">ROUND((G41*(1+$I$5)),2)</f>
        <v>894.56</v>
      </c>
      <c r="I41" s="191">
        <f t="shared" ref="I41" si="9">ROUND((H41*F41),2)</f>
        <v>58257.33</v>
      </c>
    </row>
    <row r="42" spans="1:13" ht="37.5" x14ac:dyDescent="0.25">
      <c r="A42" s="171" t="s">
        <v>303</v>
      </c>
      <c r="B42" s="171" t="s">
        <v>601</v>
      </c>
      <c r="C42" s="171" t="s">
        <v>798</v>
      </c>
      <c r="D42" s="179" t="s">
        <v>818</v>
      </c>
      <c r="E42" s="180" t="s">
        <v>336</v>
      </c>
      <c r="F42" s="216">
        <f>Proj.Estr!T57</f>
        <v>5286.87</v>
      </c>
      <c r="G42" s="191">
        <v>11.26</v>
      </c>
      <c r="H42" s="191">
        <f t="shared" si="8"/>
        <v>14.52</v>
      </c>
      <c r="I42" s="191">
        <f t="shared" ref="I42:I50" si="10">ROUND((H42*F42),2)</f>
        <v>76765.350000000006</v>
      </c>
    </row>
    <row r="43" spans="1:13" ht="25" x14ac:dyDescent="0.25">
      <c r="A43" s="171" t="s">
        <v>304</v>
      </c>
      <c r="B43" s="171" t="s">
        <v>606</v>
      </c>
      <c r="C43" s="171" t="s">
        <v>798</v>
      </c>
      <c r="D43" s="172" t="s">
        <v>822</v>
      </c>
      <c r="E43" s="171" t="s">
        <v>331</v>
      </c>
      <c r="F43" s="186">
        <f>Proj.Estr!Q57</f>
        <v>477.94799999999998</v>
      </c>
      <c r="G43" s="191">
        <v>44.45</v>
      </c>
      <c r="H43" s="191">
        <f t="shared" si="8"/>
        <v>57.32</v>
      </c>
      <c r="I43" s="191">
        <f t="shared" si="10"/>
        <v>27395.98</v>
      </c>
    </row>
    <row r="44" spans="1:13" ht="37.5" x14ac:dyDescent="0.25">
      <c r="A44" s="171" t="s">
        <v>305</v>
      </c>
      <c r="B44" s="171" t="s">
        <v>607</v>
      </c>
      <c r="C44" s="171" t="s">
        <v>798</v>
      </c>
      <c r="D44" s="172" t="s">
        <v>823</v>
      </c>
      <c r="E44" s="171" t="s">
        <v>331</v>
      </c>
      <c r="F44" s="186">
        <f>Memória!C100</f>
        <v>1080.8151</v>
      </c>
      <c r="G44" s="191">
        <v>21.06</v>
      </c>
      <c r="H44" s="191">
        <f t="shared" si="8"/>
        <v>27.16</v>
      </c>
      <c r="I44" s="191">
        <f t="shared" si="10"/>
        <v>29354.94</v>
      </c>
    </row>
    <row r="45" spans="1:13" ht="37.5" x14ac:dyDescent="0.25">
      <c r="A45" s="171" t="s">
        <v>306</v>
      </c>
      <c r="B45" s="171" t="s">
        <v>608</v>
      </c>
      <c r="C45" s="171" t="s">
        <v>798</v>
      </c>
      <c r="D45" s="172" t="s">
        <v>824</v>
      </c>
      <c r="E45" s="171" t="s">
        <v>331</v>
      </c>
      <c r="F45" s="174">
        <f>Memória!C110</f>
        <v>60.036000000000001</v>
      </c>
      <c r="G45" s="191">
        <v>19</v>
      </c>
      <c r="H45" s="191">
        <f t="shared" si="8"/>
        <v>24.5</v>
      </c>
      <c r="I45" s="191">
        <f t="shared" si="10"/>
        <v>1470.88</v>
      </c>
    </row>
    <row r="46" spans="1:13" ht="37.5" x14ac:dyDescent="0.25">
      <c r="A46" s="171" t="s">
        <v>307</v>
      </c>
      <c r="B46" s="171" t="s">
        <v>609</v>
      </c>
      <c r="C46" s="171" t="s">
        <v>798</v>
      </c>
      <c r="D46" s="172" t="s">
        <v>825</v>
      </c>
      <c r="E46" s="171" t="s">
        <v>331</v>
      </c>
      <c r="F46" s="174">
        <f>Memória!C67*0.2</f>
        <v>61.949999999999989</v>
      </c>
      <c r="G46" s="191">
        <v>19.059999999999999</v>
      </c>
      <c r="H46" s="191">
        <f t="shared" si="8"/>
        <v>24.58</v>
      </c>
      <c r="I46" s="191">
        <f t="shared" si="10"/>
        <v>1522.73</v>
      </c>
    </row>
    <row r="47" spans="1:13" ht="75" x14ac:dyDescent="0.25">
      <c r="A47" s="171" t="s">
        <v>308</v>
      </c>
      <c r="B47" s="171" t="s">
        <v>610</v>
      </c>
      <c r="C47" s="171" t="s">
        <v>798</v>
      </c>
      <c r="D47" s="172" t="s">
        <v>826</v>
      </c>
      <c r="E47" s="171" t="s">
        <v>331</v>
      </c>
      <c r="F47" s="174">
        <f>Memória!F71</f>
        <v>145.46379999999999</v>
      </c>
      <c r="G47" s="191">
        <v>130.77000000000001</v>
      </c>
      <c r="H47" s="191">
        <f t="shared" si="8"/>
        <v>168.63</v>
      </c>
      <c r="I47" s="191">
        <f t="shared" si="10"/>
        <v>24529.56</v>
      </c>
    </row>
    <row r="48" spans="1:13" ht="75" x14ac:dyDescent="0.25">
      <c r="A48" s="171" t="s">
        <v>309</v>
      </c>
      <c r="B48" s="171" t="s">
        <v>611</v>
      </c>
      <c r="C48" s="171" t="s">
        <v>798</v>
      </c>
      <c r="D48" s="172" t="s">
        <v>827</v>
      </c>
      <c r="E48" s="171" t="s">
        <v>331</v>
      </c>
      <c r="F48" s="174">
        <f>Memória!F72</f>
        <v>214.80790000000002</v>
      </c>
      <c r="G48" s="191">
        <v>137.68</v>
      </c>
      <c r="H48" s="191">
        <f t="shared" si="8"/>
        <v>177.54</v>
      </c>
      <c r="I48" s="191">
        <f t="shared" si="10"/>
        <v>38136.99</v>
      </c>
    </row>
    <row r="49" spans="1:9" ht="37.5" x14ac:dyDescent="0.25">
      <c r="A49" s="171" t="s">
        <v>310</v>
      </c>
      <c r="B49" s="171" t="s">
        <v>612</v>
      </c>
      <c r="C49" s="171" t="s">
        <v>798</v>
      </c>
      <c r="D49" s="172" t="s">
        <v>828</v>
      </c>
      <c r="E49" s="171" t="s">
        <v>331</v>
      </c>
      <c r="F49" s="174">
        <f>Memória!H107</f>
        <v>20.012</v>
      </c>
      <c r="G49" s="191">
        <v>250.84</v>
      </c>
      <c r="H49" s="191">
        <f t="shared" si="8"/>
        <v>323.45999999999998</v>
      </c>
      <c r="I49" s="191">
        <f t="shared" si="10"/>
        <v>6473.08</v>
      </c>
    </row>
    <row r="50" spans="1:9" x14ac:dyDescent="0.25">
      <c r="A50" s="171" t="s">
        <v>338</v>
      </c>
      <c r="B50" s="171" t="s">
        <v>613</v>
      </c>
      <c r="C50" s="171" t="s">
        <v>798</v>
      </c>
      <c r="D50" s="172" t="s">
        <v>829</v>
      </c>
      <c r="E50" s="171" t="s">
        <v>331</v>
      </c>
      <c r="F50" s="174">
        <f>Memória!H107+Memória!C97</f>
        <v>380.28370000000001</v>
      </c>
      <c r="G50" s="191">
        <v>21.54</v>
      </c>
      <c r="H50" s="191">
        <f t="shared" si="8"/>
        <v>27.78</v>
      </c>
      <c r="I50" s="191">
        <f t="shared" si="10"/>
        <v>10564.28</v>
      </c>
    </row>
    <row r="51" spans="1:9" s="165" customFormat="1" ht="13" x14ac:dyDescent="0.3">
      <c r="A51" s="206" t="s">
        <v>339</v>
      </c>
      <c r="B51" s="206"/>
      <c r="C51" s="206"/>
      <c r="D51" s="204" t="s">
        <v>348</v>
      </c>
      <c r="E51" s="206"/>
      <c r="F51" s="207"/>
      <c r="G51" s="208"/>
      <c r="H51" s="212"/>
      <c r="I51" s="208"/>
    </row>
    <row r="52" spans="1:9" ht="37.5" x14ac:dyDescent="0.25">
      <c r="A52" s="171" t="s">
        <v>341</v>
      </c>
      <c r="B52" s="171" t="s">
        <v>614</v>
      </c>
      <c r="C52" s="171" t="s">
        <v>798</v>
      </c>
      <c r="D52" s="172" t="s">
        <v>830</v>
      </c>
      <c r="E52" s="171" t="s">
        <v>331</v>
      </c>
      <c r="F52" s="174">
        <f>Memória!C188</f>
        <v>870.2879999999999</v>
      </c>
      <c r="G52" s="191">
        <v>64.67</v>
      </c>
      <c r="H52" s="191">
        <f t="shared" ref="H52:H57" si="11">ROUND((G52*(1+$I$5)),2)</f>
        <v>83.39</v>
      </c>
      <c r="I52" s="191">
        <f t="shared" ref="I52" si="12">ROUND((H52*F52),2)</f>
        <v>72573.320000000007</v>
      </c>
    </row>
    <row r="53" spans="1:9" ht="62.5" x14ac:dyDescent="0.25">
      <c r="A53" s="171" t="s">
        <v>342</v>
      </c>
      <c r="B53" s="171" t="s">
        <v>615</v>
      </c>
      <c r="C53" s="171" t="s">
        <v>798</v>
      </c>
      <c r="D53" s="172" t="s">
        <v>831</v>
      </c>
      <c r="E53" s="171" t="s">
        <v>331</v>
      </c>
      <c r="F53" s="174">
        <f>Memória!B216</f>
        <v>1740.5759999999998</v>
      </c>
      <c r="G53" s="191">
        <v>8.6999999999999993</v>
      </c>
      <c r="H53" s="191">
        <f t="shared" si="11"/>
        <v>11.22</v>
      </c>
      <c r="I53" s="191">
        <f t="shared" ref="I53:I57" si="13">ROUND((H53*F53),2)</f>
        <v>19529.259999999998</v>
      </c>
    </row>
    <row r="54" spans="1:9" ht="50" x14ac:dyDescent="0.25">
      <c r="A54" s="171" t="s">
        <v>343</v>
      </c>
      <c r="B54" s="171" t="s">
        <v>616</v>
      </c>
      <c r="C54" s="171" t="s">
        <v>798</v>
      </c>
      <c r="D54" s="172" t="s">
        <v>832</v>
      </c>
      <c r="E54" s="171" t="s">
        <v>331</v>
      </c>
      <c r="F54" s="174">
        <f>Memória!B217</f>
        <v>294.27</v>
      </c>
      <c r="G54" s="191">
        <v>31.15</v>
      </c>
      <c r="H54" s="191">
        <f t="shared" si="11"/>
        <v>40.17</v>
      </c>
      <c r="I54" s="191">
        <f t="shared" si="13"/>
        <v>11820.83</v>
      </c>
    </row>
    <row r="55" spans="1:9" ht="50" x14ac:dyDescent="0.25">
      <c r="A55" s="171" t="s">
        <v>344</v>
      </c>
      <c r="B55" s="171" t="s">
        <v>617</v>
      </c>
      <c r="C55" s="171" t="s">
        <v>798</v>
      </c>
      <c r="D55" s="172" t="s">
        <v>833</v>
      </c>
      <c r="E55" s="171" t="s">
        <v>331</v>
      </c>
      <c r="F55" s="174">
        <f>Memória!B218</f>
        <v>1265.3219999999997</v>
      </c>
      <c r="G55" s="191">
        <v>31.01</v>
      </c>
      <c r="H55" s="191">
        <f t="shared" si="11"/>
        <v>39.99</v>
      </c>
      <c r="I55" s="191">
        <f t="shared" si="13"/>
        <v>50600.23</v>
      </c>
    </row>
    <row r="56" spans="1:9" ht="62.5" x14ac:dyDescent="0.25">
      <c r="A56" s="171" t="s">
        <v>345</v>
      </c>
      <c r="B56" s="171" t="s">
        <v>618</v>
      </c>
      <c r="C56" s="171" t="s">
        <v>798</v>
      </c>
      <c r="D56" s="172" t="s">
        <v>834</v>
      </c>
      <c r="E56" s="171" t="s">
        <v>331</v>
      </c>
      <c r="F56" s="174">
        <f>F54</f>
        <v>294.27</v>
      </c>
      <c r="G56" s="191">
        <v>67.349999999999994</v>
      </c>
      <c r="H56" s="191">
        <f t="shared" si="11"/>
        <v>86.85</v>
      </c>
      <c r="I56" s="191">
        <f t="shared" si="13"/>
        <v>25557.35</v>
      </c>
    </row>
    <row r="57" spans="1:9" ht="37.5" x14ac:dyDescent="0.25">
      <c r="A57" s="171" t="s">
        <v>346</v>
      </c>
      <c r="B57" s="171" t="s">
        <v>619</v>
      </c>
      <c r="C57" s="171" t="s">
        <v>798</v>
      </c>
      <c r="D57" s="172" t="s">
        <v>835</v>
      </c>
      <c r="E57" s="171" t="s">
        <v>331</v>
      </c>
      <c r="F57" s="174">
        <f>Memória!B222</f>
        <v>380.28370000000001</v>
      </c>
      <c r="G57" s="191">
        <v>55.98</v>
      </c>
      <c r="H57" s="191">
        <f t="shared" si="11"/>
        <v>72.19</v>
      </c>
      <c r="I57" s="191">
        <f t="shared" si="13"/>
        <v>27452.68</v>
      </c>
    </row>
    <row r="58" spans="1:9" s="165" customFormat="1" ht="13" x14ac:dyDescent="0.3">
      <c r="A58" s="206" t="s">
        <v>347</v>
      </c>
      <c r="B58" s="206"/>
      <c r="C58" s="206"/>
      <c r="D58" s="204" t="s">
        <v>356</v>
      </c>
      <c r="E58" s="206"/>
      <c r="F58" s="207"/>
      <c r="G58" s="208"/>
      <c r="H58" s="212"/>
      <c r="I58" s="208"/>
    </row>
    <row r="59" spans="1:9" ht="25" x14ac:dyDescent="0.25">
      <c r="A59" s="171" t="s">
        <v>349</v>
      </c>
      <c r="B59" s="171" t="s">
        <v>620</v>
      </c>
      <c r="C59" s="171" t="s">
        <v>798</v>
      </c>
      <c r="D59" s="172" t="s">
        <v>836</v>
      </c>
      <c r="E59" s="171" t="s">
        <v>331</v>
      </c>
      <c r="F59" s="174">
        <f>Memória!C280</f>
        <v>380.28370000000001</v>
      </c>
      <c r="G59" s="191">
        <v>2.95</v>
      </c>
      <c r="H59" s="191">
        <f t="shared" ref="H59:H64" si="14">ROUND((G59*(1+$I$5)),2)</f>
        <v>3.8</v>
      </c>
      <c r="I59" s="191">
        <f t="shared" ref="I59" si="15">ROUND((H59*F59),2)</f>
        <v>1445.08</v>
      </c>
    </row>
    <row r="60" spans="1:9" ht="25" x14ac:dyDescent="0.25">
      <c r="A60" s="171" t="s">
        <v>350</v>
      </c>
      <c r="B60" s="171" t="s">
        <v>621</v>
      </c>
      <c r="C60" s="171" t="s">
        <v>798</v>
      </c>
      <c r="D60" s="172" t="s">
        <v>837</v>
      </c>
      <c r="E60" s="171" t="s">
        <v>331</v>
      </c>
      <c r="F60" s="174">
        <f>F59</f>
        <v>380.28370000000001</v>
      </c>
      <c r="G60" s="191">
        <v>33.86</v>
      </c>
      <c r="H60" s="191">
        <f t="shared" si="14"/>
        <v>43.66</v>
      </c>
      <c r="I60" s="191">
        <f t="shared" ref="I60:I64" si="16">ROUND((H60*F60),2)</f>
        <v>16603.189999999999</v>
      </c>
    </row>
    <row r="61" spans="1:9" ht="37.5" x14ac:dyDescent="0.25">
      <c r="A61" s="171" t="s">
        <v>351</v>
      </c>
      <c r="B61" s="171" t="s">
        <v>622</v>
      </c>
      <c r="C61" s="171" t="s">
        <v>798</v>
      </c>
      <c r="D61" s="172" t="s">
        <v>838</v>
      </c>
      <c r="E61" s="171" t="s">
        <v>331</v>
      </c>
      <c r="F61" s="174">
        <f>F60</f>
        <v>380.28370000000001</v>
      </c>
      <c r="G61" s="191">
        <v>50.09</v>
      </c>
      <c r="H61" s="191">
        <f t="shared" si="14"/>
        <v>64.59</v>
      </c>
      <c r="I61" s="191">
        <f t="shared" si="16"/>
        <v>24562.52</v>
      </c>
    </row>
    <row r="62" spans="1:9" ht="50" x14ac:dyDescent="0.25">
      <c r="A62" s="171" t="s">
        <v>352</v>
      </c>
      <c r="B62" s="171" t="s">
        <v>623</v>
      </c>
      <c r="C62" s="171" t="s">
        <v>798</v>
      </c>
      <c r="D62" s="172" t="s">
        <v>839</v>
      </c>
      <c r="E62" s="171" t="s">
        <v>331</v>
      </c>
      <c r="F62" s="174">
        <f>F61</f>
        <v>380.28370000000001</v>
      </c>
      <c r="G62" s="191">
        <v>78.08</v>
      </c>
      <c r="H62" s="191">
        <f t="shared" si="14"/>
        <v>100.68</v>
      </c>
      <c r="I62" s="191">
        <f t="shared" si="16"/>
        <v>38286.959999999999</v>
      </c>
    </row>
    <row r="63" spans="1:9" ht="37.5" x14ac:dyDescent="0.25">
      <c r="A63" s="171" t="s">
        <v>353</v>
      </c>
      <c r="B63" s="171" t="s">
        <v>624</v>
      </c>
      <c r="C63" s="171" t="s">
        <v>798</v>
      </c>
      <c r="D63" s="172" t="s">
        <v>840</v>
      </c>
      <c r="E63" s="171" t="s">
        <v>335</v>
      </c>
      <c r="F63" s="174">
        <f>Memória!B285</f>
        <v>94.629999999999939</v>
      </c>
      <c r="G63" s="191">
        <v>10.99</v>
      </c>
      <c r="H63" s="191">
        <f t="shared" si="14"/>
        <v>14.17</v>
      </c>
      <c r="I63" s="191">
        <f t="shared" si="16"/>
        <v>1340.91</v>
      </c>
    </row>
    <row r="64" spans="1:9" ht="25" x14ac:dyDescent="0.25">
      <c r="A64" s="171" t="s">
        <v>354</v>
      </c>
      <c r="B64" s="171" t="s">
        <v>625</v>
      </c>
      <c r="C64" s="171" t="s">
        <v>798</v>
      </c>
      <c r="D64" s="172" t="s">
        <v>841</v>
      </c>
      <c r="E64" s="171" t="s">
        <v>331</v>
      </c>
      <c r="F64" s="174">
        <f>Memória!H317</f>
        <v>6.26</v>
      </c>
      <c r="G64" s="191">
        <v>300.98</v>
      </c>
      <c r="H64" s="191">
        <f t="shared" si="14"/>
        <v>388.11</v>
      </c>
      <c r="I64" s="191">
        <f t="shared" si="16"/>
        <v>2429.5700000000002</v>
      </c>
    </row>
    <row r="65" spans="1:9" s="165" customFormat="1" ht="13" x14ac:dyDescent="0.3">
      <c r="A65" s="206" t="s">
        <v>355</v>
      </c>
      <c r="B65" s="206"/>
      <c r="C65" s="206"/>
      <c r="D65" s="204" t="s">
        <v>359</v>
      </c>
      <c r="E65" s="206"/>
      <c r="F65" s="207"/>
      <c r="G65" s="208"/>
      <c r="H65" s="212"/>
      <c r="I65" s="208"/>
    </row>
    <row r="66" spans="1:9" x14ac:dyDescent="0.25">
      <c r="A66" s="171" t="s">
        <v>374</v>
      </c>
      <c r="B66" s="171" t="s">
        <v>626</v>
      </c>
      <c r="C66" s="171" t="s">
        <v>798</v>
      </c>
      <c r="D66" s="172" t="s">
        <v>842</v>
      </c>
      <c r="E66" s="171" t="s">
        <v>331</v>
      </c>
      <c r="F66" s="174">
        <f>Memória!C237</f>
        <v>380.11109999999996</v>
      </c>
      <c r="G66" s="191">
        <v>85.56</v>
      </c>
      <c r="H66" s="191">
        <f t="shared" ref="H66:H74" si="17">ROUND((G66*(1+$I$5)),2)</f>
        <v>110.33</v>
      </c>
      <c r="I66" s="191">
        <f t="shared" ref="I66" si="18">ROUND((H66*F66),2)</f>
        <v>41937.660000000003</v>
      </c>
    </row>
    <row r="67" spans="1:9" ht="62.5" x14ac:dyDescent="0.25">
      <c r="A67" s="171" t="s">
        <v>375</v>
      </c>
      <c r="B67" s="171" t="s">
        <v>627</v>
      </c>
      <c r="C67" s="171" t="s">
        <v>798</v>
      </c>
      <c r="D67" s="172" t="s">
        <v>843</v>
      </c>
      <c r="E67" s="171" t="s">
        <v>331</v>
      </c>
      <c r="F67" s="174">
        <f>Memória!C238</f>
        <v>389.61387749999994</v>
      </c>
      <c r="G67" s="191">
        <v>73.75</v>
      </c>
      <c r="H67" s="191">
        <f t="shared" si="17"/>
        <v>95.1</v>
      </c>
      <c r="I67" s="191">
        <f t="shared" ref="I67:I74" si="19">ROUND((H67*F67),2)</f>
        <v>37052.28</v>
      </c>
    </row>
    <row r="68" spans="1:9" ht="50" x14ac:dyDescent="0.25">
      <c r="A68" s="171" t="s">
        <v>376</v>
      </c>
      <c r="B68" s="171" t="s">
        <v>628</v>
      </c>
      <c r="C68" s="171" t="s">
        <v>798</v>
      </c>
      <c r="D68" s="172" t="s">
        <v>844</v>
      </c>
      <c r="E68" s="171" t="s">
        <v>335</v>
      </c>
      <c r="F68" s="174">
        <v>60</v>
      </c>
      <c r="G68" s="191">
        <v>131.24</v>
      </c>
      <c r="H68" s="191">
        <f t="shared" si="17"/>
        <v>169.23</v>
      </c>
      <c r="I68" s="191">
        <f t="shared" si="19"/>
        <v>10153.799999999999</v>
      </c>
    </row>
    <row r="69" spans="1:9" ht="37.5" x14ac:dyDescent="0.25">
      <c r="A69" s="171" t="s">
        <v>377</v>
      </c>
      <c r="B69" s="171" t="s">
        <v>629</v>
      </c>
      <c r="C69" s="171" t="s">
        <v>798</v>
      </c>
      <c r="D69" s="172" t="s">
        <v>845</v>
      </c>
      <c r="E69" s="171" t="s">
        <v>335</v>
      </c>
      <c r="F69" s="174">
        <f>Memória!C239</f>
        <v>107.76</v>
      </c>
      <c r="G69" s="191">
        <v>32.729999999999997</v>
      </c>
      <c r="H69" s="191">
        <f t="shared" si="17"/>
        <v>42.21</v>
      </c>
      <c r="I69" s="191">
        <f t="shared" si="19"/>
        <v>4548.55</v>
      </c>
    </row>
    <row r="70" spans="1:9" ht="37.5" x14ac:dyDescent="0.25">
      <c r="A70" s="171" t="s">
        <v>378</v>
      </c>
      <c r="B70" s="171" t="s">
        <v>630</v>
      </c>
      <c r="C70" s="171" t="s">
        <v>798</v>
      </c>
      <c r="D70" s="172" t="s">
        <v>846</v>
      </c>
      <c r="E70" s="171" t="s">
        <v>335</v>
      </c>
      <c r="F70" s="174">
        <f>Memória!C240+Memória!C262</f>
        <v>84.91</v>
      </c>
      <c r="G70" s="191">
        <v>153.26</v>
      </c>
      <c r="H70" s="191">
        <f t="shared" si="17"/>
        <v>197.63</v>
      </c>
      <c r="I70" s="191">
        <f t="shared" si="19"/>
        <v>16780.759999999998</v>
      </c>
    </row>
    <row r="71" spans="1:9" ht="37.5" x14ac:dyDescent="0.25">
      <c r="A71" s="171" t="s">
        <v>379</v>
      </c>
      <c r="B71" s="171" t="s">
        <v>631</v>
      </c>
      <c r="C71" s="171" t="s">
        <v>798</v>
      </c>
      <c r="D71" s="172" t="s">
        <v>847</v>
      </c>
      <c r="E71" s="171" t="s">
        <v>335</v>
      </c>
      <c r="F71" s="174">
        <f>Memória!B253*3</f>
        <v>30</v>
      </c>
      <c r="G71" s="191">
        <v>78.099999999999994</v>
      </c>
      <c r="H71" s="191">
        <f t="shared" si="17"/>
        <v>100.71</v>
      </c>
      <c r="I71" s="191">
        <f t="shared" si="19"/>
        <v>3021.3</v>
      </c>
    </row>
    <row r="72" spans="1:9" ht="25" x14ac:dyDescent="0.25">
      <c r="A72" s="171" t="s">
        <v>1215</v>
      </c>
      <c r="B72" s="171" t="s">
        <v>632</v>
      </c>
      <c r="C72" s="171" t="s">
        <v>798</v>
      </c>
      <c r="D72" s="172" t="s">
        <v>848</v>
      </c>
      <c r="E72" s="171" t="s">
        <v>331</v>
      </c>
      <c r="F72" s="174">
        <f>Memória!C260</f>
        <v>43.884999999999998</v>
      </c>
      <c r="G72" s="191">
        <v>115.93</v>
      </c>
      <c r="H72" s="191">
        <f t="shared" si="17"/>
        <v>149.49</v>
      </c>
      <c r="I72" s="191">
        <f t="shared" si="19"/>
        <v>6560.37</v>
      </c>
    </row>
    <row r="73" spans="1:9" ht="37.5" x14ac:dyDescent="0.25">
      <c r="A73" s="171" t="s">
        <v>1216</v>
      </c>
      <c r="B73" s="171" t="s">
        <v>633</v>
      </c>
      <c r="C73" s="171" t="s">
        <v>798</v>
      </c>
      <c r="D73" s="172" t="s">
        <v>849</v>
      </c>
      <c r="E73" s="171" t="s">
        <v>331</v>
      </c>
      <c r="F73" s="174">
        <f>Memória!C261</f>
        <v>46.079250000000002</v>
      </c>
      <c r="G73" s="191">
        <v>102.78</v>
      </c>
      <c r="H73" s="191">
        <f t="shared" si="17"/>
        <v>132.53</v>
      </c>
      <c r="I73" s="191">
        <f t="shared" si="19"/>
        <v>6106.88</v>
      </c>
    </row>
    <row r="74" spans="1:9" s="178" customFormat="1" ht="25" x14ac:dyDescent="0.25">
      <c r="A74" s="171" t="s">
        <v>1217</v>
      </c>
      <c r="B74" s="178" t="s">
        <v>1171</v>
      </c>
      <c r="C74" s="176" t="s">
        <v>1172</v>
      </c>
      <c r="D74" s="196" t="s">
        <v>1170</v>
      </c>
      <c r="E74" s="176" t="s">
        <v>331</v>
      </c>
      <c r="F74" s="173">
        <f>Memória!B272</f>
        <v>22.472500000000004</v>
      </c>
      <c r="G74" s="194">
        <v>483</v>
      </c>
      <c r="H74" s="191">
        <f t="shared" si="17"/>
        <v>622.83000000000004</v>
      </c>
      <c r="I74" s="191">
        <f t="shared" si="19"/>
        <v>13996.55</v>
      </c>
    </row>
    <row r="75" spans="1:9" s="165" customFormat="1" ht="13" x14ac:dyDescent="0.3">
      <c r="A75" s="206" t="s">
        <v>380</v>
      </c>
      <c r="B75" s="206"/>
      <c r="C75" s="206"/>
      <c r="D75" s="204" t="s">
        <v>357</v>
      </c>
      <c r="E75" s="206"/>
      <c r="F75" s="207"/>
      <c r="G75" s="208"/>
      <c r="H75" s="212"/>
      <c r="I75" s="208"/>
    </row>
    <row r="76" spans="1:9" ht="25" x14ac:dyDescent="0.25">
      <c r="A76" s="171" t="s">
        <v>381</v>
      </c>
      <c r="B76" s="171" t="s">
        <v>634</v>
      </c>
      <c r="C76" s="171" t="s">
        <v>798</v>
      </c>
      <c r="D76" s="172" t="s">
        <v>850</v>
      </c>
      <c r="E76" s="171" t="s">
        <v>331</v>
      </c>
      <c r="F76" s="174">
        <f>Memória!B219/2</f>
        <v>288.00899999999996</v>
      </c>
      <c r="G76" s="191">
        <v>15.77</v>
      </c>
      <c r="H76" s="191">
        <f t="shared" ref="H76:H82" si="20">ROUND((G76*(1+$I$5)),2)</f>
        <v>20.34</v>
      </c>
      <c r="I76" s="191">
        <f t="shared" ref="I76:I82" si="21">ROUND((H76*F76),2)</f>
        <v>5858.1</v>
      </c>
    </row>
    <row r="77" spans="1:9" ht="37.5" x14ac:dyDescent="0.25">
      <c r="A77" s="171" t="s">
        <v>382</v>
      </c>
      <c r="B77" s="171" t="s">
        <v>635</v>
      </c>
      <c r="C77" s="171" t="s">
        <v>798</v>
      </c>
      <c r="D77" s="172" t="s">
        <v>851</v>
      </c>
      <c r="E77" s="171" t="s">
        <v>331</v>
      </c>
      <c r="F77" s="174">
        <f>F76</f>
        <v>288.00899999999996</v>
      </c>
      <c r="G77" s="191">
        <v>25.06</v>
      </c>
      <c r="H77" s="191">
        <f t="shared" si="20"/>
        <v>32.31</v>
      </c>
      <c r="I77" s="191">
        <f t="shared" si="21"/>
        <v>9305.57</v>
      </c>
    </row>
    <row r="78" spans="1:9" ht="25" x14ac:dyDescent="0.25">
      <c r="A78" s="171" t="s">
        <v>383</v>
      </c>
      <c r="B78" s="171" t="s">
        <v>636</v>
      </c>
      <c r="C78" s="171" t="s">
        <v>798</v>
      </c>
      <c r="D78" s="172" t="s">
        <v>852</v>
      </c>
      <c r="E78" s="171" t="s">
        <v>331</v>
      </c>
      <c r="F78" s="174">
        <f>Memória!B222</f>
        <v>380.28370000000001</v>
      </c>
      <c r="G78" s="191">
        <v>17.3</v>
      </c>
      <c r="H78" s="191">
        <f t="shared" si="20"/>
        <v>22.31</v>
      </c>
      <c r="I78" s="191">
        <f t="shared" si="21"/>
        <v>8484.1299999999992</v>
      </c>
    </row>
    <row r="79" spans="1:9" ht="25" x14ac:dyDescent="0.25">
      <c r="A79" s="171" t="s">
        <v>384</v>
      </c>
      <c r="B79" s="171" t="s">
        <v>637</v>
      </c>
      <c r="C79" s="171" t="s">
        <v>798</v>
      </c>
      <c r="D79" s="172" t="s">
        <v>853</v>
      </c>
      <c r="E79" s="171" t="s">
        <v>331</v>
      </c>
      <c r="F79" s="174">
        <f>Memória!B220</f>
        <v>689.30399999999975</v>
      </c>
      <c r="G79" s="191">
        <v>29.53</v>
      </c>
      <c r="H79" s="191">
        <f t="shared" si="20"/>
        <v>38.08</v>
      </c>
      <c r="I79" s="191">
        <f t="shared" si="21"/>
        <v>26248.7</v>
      </c>
    </row>
    <row r="80" spans="1:9" ht="50" x14ac:dyDescent="0.25">
      <c r="A80" s="171" t="s">
        <v>385</v>
      </c>
      <c r="B80" s="171" t="s">
        <v>638</v>
      </c>
      <c r="C80" s="171" t="s">
        <v>798</v>
      </c>
      <c r="D80" s="172" t="s">
        <v>854</v>
      </c>
      <c r="E80" s="171" t="s">
        <v>331</v>
      </c>
      <c r="F80" s="174">
        <f>Memória!D319</f>
        <v>50.400000000000006</v>
      </c>
      <c r="G80" s="191">
        <v>35.97</v>
      </c>
      <c r="H80" s="191">
        <f t="shared" si="20"/>
        <v>46.38</v>
      </c>
      <c r="I80" s="191">
        <f t="shared" si="21"/>
        <v>2337.5500000000002</v>
      </c>
    </row>
    <row r="81" spans="1:9" ht="37.5" x14ac:dyDescent="0.25">
      <c r="A81" s="171" t="s">
        <v>386</v>
      </c>
      <c r="B81" s="171" t="s">
        <v>639</v>
      </c>
      <c r="C81" s="171" t="s">
        <v>798</v>
      </c>
      <c r="D81" s="172" t="s">
        <v>855</v>
      </c>
      <c r="E81" s="171" t="s">
        <v>331</v>
      </c>
      <c r="F81" s="174">
        <f>Memória!D319</f>
        <v>50.400000000000006</v>
      </c>
      <c r="G81" s="191">
        <v>29.88</v>
      </c>
      <c r="H81" s="191">
        <f t="shared" si="20"/>
        <v>38.53</v>
      </c>
      <c r="I81" s="191">
        <f t="shared" si="21"/>
        <v>1941.91</v>
      </c>
    </row>
    <row r="82" spans="1:9" ht="25" x14ac:dyDescent="0.25">
      <c r="A82" s="171" t="s">
        <v>387</v>
      </c>
      <c r="B82" s="171" t="s">
        <v>640</v>
      </c>
      <c r="C82" s="171" t="s">
        <v>798</v>
      </c>
      <c r="D82" s="172" t="s">
        <v>856</v>
      </c>
      <c r="E82" s="171" t="s">
        <v>331</v>
      </c>
      <c r="F82" s="174">
        <f>Memória!D320</f>
        <v>13.200000000000001</v>
      </c>
      <c r="G82" s="191">
        <v>35.92</v>
      </c>
      <c r="H82" s="191">
        <f t="shared" si="20"/>
        <v>46.32</v>
      </c>
      <c r="I82" s="191">
        <f t="shared" si="21"/>
        <v>611.41999999999996</v>
      </c>
    </row>
    <row r="83" spans="1:9" s="165" customFormat="1" ht="13" x14ac:dyDescent="0.3">
      <c r="A83" s="206" t="s">
        <v>388</v>
      </c>
      <c r="B83" s="206"/>
      <c r="C83" s="206"/>
      <c r="D83" s="204" t="s">
        <v>360</v>
      </c>
      <c r="E83" s="206"/>
      <c r="F83" s="207"/>
      <c r="G83" s="208"/>
      <c r="H83" s="212"/>
      <c r="I83" s="208"/>
    </row>
    <row r="84" spans="1:9" ht="75" x14ac:dyDescent="0.25">
      <c r="A84" s="171" t="s">
        <v>389</v>
      </c>
      <c r="B84" s="171" t="s">
        <v>641</v>
      </c>
      <c r="C84" s="171" t="s">
        <v>798</v>
      </c>
      <c r="D84" s="172" t="s">
        <v>857</v>
      </c>
      <c r="E84" s="171" t="s">
        <v>331</v>
      </c>
      <c r="F84" s="174">
        <f>Memória!E302</f>
        <v>10.08</v>
      </c>
      <c r="G84" s="191">
        <v>884.64</v>
      </c>
      <c r="H84" s="191">
        <f t="shared" ref="H84:H93" si="22">ROUND((G84*(1+$I$5)),2)</f>
        <v>1140.74</v>
      </c>
      <c r="I84" s="191">
        <f t="shared" ref="I84:I93" si="23">ROUND((H84*F84),2)</f>
        <v>11498.66</v>
      </c>
    </row>
    <row r="85" spans="1:9" ht="50" x14ac:dyDescent="0.25">
      <c r="A85" s="171" t="s">
        <v>390</v>
      </c>
      <c r="B85" s="171" t="s">
        <v>642</v>
      </c>
      <c r="C85" s="171" t="s">
        <v>798</v>
      </c>
      <c r="D85" s="172" t="s">
        <v>858</v>
      </c>
      <c r="E85" s="171" t="s">
        <v>331</v>
      </c>
      <c r="F85" s="174">
        <f>Memória!E303</f>
        <v>25.4</v>
      </c>
      <c r="G85" s="191">
        <v>836.67</v>
      </c>
      <c r="H85" s="191">
        <f t="shared" si="22"/>
        <v>1078.8900000000001</v>
      </c>
      <c r="I85" s="191">
        <f t="shared" si="23"/>
        <v>27403.81</v>
      </c>
    </row>
    <row r="86" spans="1:9" ht="37.5" x14ac:dyDescent="0.25">
      <c r="A86" s="171" t="s">
        <v>391</v>
      </c>
      <c r="B86" s="171" t="s">
        <v>643</v>
      </c>
      <c r="C86" s="171" t="s">
        <v>798</v>
      </c>
      <c r="D86" s="172" t="s">
        <v>859</v>
      </c>
      <c r="E86" s="171" t="s">
        <v>323</v>
      </c>
      <c r="F86" s="174">
        <f>Memória!E313</f>
        <v>6</v>
      </c>
      <c r="G86" s="191">
        <v>1483.9</v>
      </c>
      <c r="H86" s="191">
        <f t="shared" si="22"/>
        <v>1913.49</v>
      </c>
      <c r="I86" s="191">
        <f t="shared" si="23"/>
        <v>11480.94</v>
      </c>
    </row>
    <row r="87" spans="1:9" ht="50" x14ac:dyDescent="0.25">
      <c r="A87" s="171" t="s">
        <v>392</v>
      </c>
      <c r="B87" s="171" t="s">
        <v>644</v>
      </c>
      <c r="C87" s="171" t="s">
        <v>798</v>
      </c>
      <c r="D87" s="172" t="s">
        <v>860</v>
      </c>
      <c r="E87" s="171" t="s">
        <v>331</v>
      </c>
      <c r="F87" s="174">
        <f>Memória!F306+Memória!F308</f>
        <v>5.46</v>
      </c>
      <c r="G87" s="191">
        <v>341.7</v>
      </c>
      <c r="H87" s="191">
        <f t="shared" si="22"/>
        <v>440.62</v>
      </c>
      <c r="I87" s="191">
        <f t="shared" si="23"/>
        <v>2405.79</v>
      </c>
    </row>
    <row r="88" spans="1:9" ht="25" x14ac:dyDescent="0.25">
      <c r="A88" s="171" t="s">
        <v>393</v>
      </c>
      <c r="B88" s="171" t="s">
        <v>645</v>
      </c>
      <c r="C88" s="171" t="s">
        <v>798</v>
      </c>
      <c r="D88" s="172" t="s">
        <v>861</v>
      </c>
      <c r="E88" s="171" t="s">
        <v>331</v>
      </c>
      <c r="F88" s="174">
        <f>Memória!F311+Memória!F316+Memória!F315</f>
        <v>5.9700000000000006</v>
      </c>
      <c r="G88" s="191">
        <v>778.11</v>
      </c>
      <c r="H88" s="191">
        <f t="shared" si="22"/>
        <v>1003.37</v>
      </c>
      <c r="I88" s="191">
        <f t="shared" si="23"/>
        <v>5990.12</v>
      </c>
    </row>
    <row r="89" spans="1:9" ht="25" x14ac:dyDescent="0.25">
      <c r="A89" s="171" t="s">
        <v>394</v>
      </c>
      <c r="B89" s="171" t="s">
        <v>646</v>
      </c>
      <c r="C89" s="171" t="s">
        <v>798</v>
      </c>
      <c r="D89" s="168" t="s">
        <v>862</v>
      </c>
      <c r="E89" s="171" t="s">
        <v>331</v>
      </c>
      <c r="F89" s="174">
        <f>Memória!F307</f>
        <v>2.52</v>
      </c>
      <c r="G89" s="191">
        <v>778.11</v>
      </c>
      <c r="H89" s="191">
        <f t="shared" si="22"/>
        <v>1003.37</v>
      </c>
      <c r="I89" s="191">
        <f t="shared" si="23"/>
        <v>2528.4899999999998</v>
      </c>
    </row>
    <row r="90" spans="1:9" ht="50" x14ac:dyDescent="0.25">
      <c r="A90" s="171" t="s">
        <v>395</v>
      </c>
      <c r="B90" s="171" t="s">
        <v>647</v>
      </c>
      <c r="C90" s="171" t="s">
        <v>798</v>
      </c>
      <c r="D90" s="172" t="s">
        <v>863</v>
      </c>
      <c r="E90" s="171" t="s">
        <v>323</v>
      </c>
      <c r="F90" s="174">
        <f>Memória!E312</f>
        <v>11</v>
      </c>
      <c r="G90" s="191">
        <v>994.09</v>
      </c>
      <c r="H90" s="191">
        <f t="shared" si="22"/>
        <v>1281.8800000000001</v>
      </c>
      <c r="I90" s="191">
        <f t="shared" si="23"/>
        <v>14100.68</v>
      </c>
    </row>
    <row r="91" spans="1:9" ht="50" x14ac:dyDescent="0.25">
      <c r="A91" s="171" t="s">
        <v>1218</v>
      </c>
      <c r="B91" s="171" t="s">
        <v>648</v>
      </c>
      <c r="C91" s="171" t="s">
        <v>798</v>
      </c>
      <c r="D91" s="172" t="s">
        <v>864</v>
      </c>
      <c r="E91" s="171" t="s">
        <v>323</v>
      </c>
      <c r="F91" s="174">
        <f>Memória!E314</f>
        <v>12</v>
      </c>
      <c r="G91" s="191">
        <v>1031</v>
      </c>
      <c r="H91" s="191">
        <f t="shared" si="22"/>
        <v>1329.47</v>
      </c>
      <c r="I91" s="191">
        <f t="shared" si="23"/>
        <v>15953.64</v>
      </c>
    </row>
    <row r="92" spans="1:9" s="178" customFormat="1" ht="62.5" x14ac:dyDescent="0.25">
      <c r="A92" s="171" t="s">
        <v>1219</v>
      </c>
      <c r="B92" s="176" t="s">
        <v>1045</v>
      </c>
      <c r="C92" s="176" t="s">
        <v>1045</v>
      </c>
      <c r="D92" s="177" t="s">
        <v>865</v>
      </c>
      <c r="E92" s="176" t="s">
        <v>323</v>
      </c>
      <c r="F92" s="173">
        <f>Memória!E310</f>
        <v>1</v>
      </c>
      <c r="G92" s="194">
        <f>CPU!H14</f>
        <v>2259.12</v>
      </c>
      <c r="H92" s="190">
        <f t="shared" si="22"/>
        <v>2913.14</v>
      </c>
      <c r="I92" s="190">
        <f t="shared" si="23"/>
        <v>2913.14</v>
      </c>
    </row>
    <row r="93" spans="1:9" ht="62.5" x14ac:dyDescent="0.25">
      <c r="A93" s="171" t="s">
        <v>1220</v>
      </c>
      <c r="B93" s="171" t="s">
        <v>649</v>
      </c>
      <c r="C93" s="171" t="s">
        <v>798</v>
      </c>
      <c r="D93" s="172" t="s">
        <v>866</v>
      </c>
      <c r="E93" s="171" t="s">
        <v>331</v>
      </c>
      <c r="F93" s="174">
        <f>Memória!D321+Memória!D322</f>
        <v>35.479999999999997</v>
      </c>
      <c r="G93" s="191">
        <v>206.75</v>
      </c>
      <c r="H93" s="191">
        <f t="shared" si="22"/>
        <v>266.60000000000002</v>
      </c>
      <c r="I93" s="191">
        <f t="shared" si="23"/>
        <v>9458.9699999999993</v>
      </c>
    </row>
    <row r="94" spans="1:9" s="165" customFormat="1" ht="13" x14ac:dyDescent="0.3">
      <c r="A94" s="206" t="s">
        <v>396</v>
      </c>
      <c r="B94" s="206"/>
      <c r="C94" s="206"/>
      <c r="D94" s="204" t="s">
        <v>361</v>
      </c>
      <c r="E94" s="206"/>
      <c r="F94" s="207"/>
      <c r="G94" s="208"/>
      <c r="H94" s="212"/>
      <c r="I94" s="208"/>
    </row>
    <row r="95" spans="1:9" ht="25" x14ac:dyDescent="0.25">
      <c r="A95" s="171" t="s">
        <v>397</v>
      </c>
      <c r="B95" s="171" t="s">
        <v>650</v>
      </c>
      <c r="C95" s="171" t="s">
        <v>798</v>
      </c>
      <c r="D95" s="172" t="s">
        <v>867</v>
      </c>
      <c r="E95" s="171" t="s">
        <v>331</v>
      </c>
      <c r="F95" s="174">
        <f>Memória!D332</f>
        <v>22.77</v>
      </c>
      <c r="G95" s="191">
        <v>668.6</v>
      </c>
      <c r="H95" s="191">
        <f>ROUND((G95*(1+$I$5)),2)</f>
        <v>862.16</v>
      </c>
      <c r="I95" s="191">
        <f t="shared" ref="I95:I98" si="24">ROUND((H95*F95),2)</f>
        <v>19631.38</v>
      </c>
    </row>
    <row r="96" spans="1:9" ht="75" x14ac:dyDescent="0.25">
      <c r="A96" s="171" t="s">
        <v>398</v>
      </c>
      <c r="B96" s="171" t="s">
        <v>651</v>
      </c>
      <c r="C96" s="171" t="s">
        <v>798</v>
      </c>
      <c r="D96" s="172" t="s">
        <v>868</v>
      </c>
      <c r="E96" s="171" t="s">
        <v>331</v>
      </c>
      <c r="F96" s="174">
        <f>Memória!D344</f>
        <v>58.044000000000004</v>
      </c>
      <c r="G96" s="191">
        <v>101.73</v>
      </c>
      <c r="H96" s="191">
        <f>ROUND((G96*(1+$I$5)),2)</f>
        <v>131.18</v>
      </c>
      <c r="I96" s="191">
        <f t="shared" si="24"/>
        <v>7614.21</v>
      </c>
    </row>
    <row r="97" spans="1:9" ht="25" x14ac:dyDescent="0.25">
      <c r="A97" s="171" t="s">
        <v>399</v>
      </c>
      <c r="B97" s="171" t="s">
        <v>652</v>
      </c>
      <c r="C97" s="171" t="s">
        <v>798</v>
      </c>
      <c r="D97" s="172" t="s">
        <v>869</v>
      </c>
      <c r="E97" s="171" t="s">
        <v>331</v>
      </c>
      <c r="F97" s="174">
        <f>Memória!D354</f>
        <v>5.8295000000000003</v>
      </c>
      <c r="G97" s="191">
        <v>376.06</v>
      </c>
      <c r="H97" s="191">
        <f>ROUND((G97*(1+$I$5)),2)</f>
        <v>484.93</v>
      </c>
      <c r="I97" s="191">
        <f t="shared" si="24"/>
        <v>2826.9</v>
      </c>
    </row>
    <row r="98" spans="1:9" ht="37.5" x14ac:dyDescent="0.25">
      <c r="A98" s="171" t="s">
        <v>400</v>
      </c>
      <c r="B98" s="171" t="s">
        <v>653</v>
      </c>
      <c r="C98" s="171" t="s">
        <v>798</v>
      </c>
      <c r="D98" s="172" t="s">
        <v>870</v>
      </c>
      <c r="E98" s="171" t="s">
        <v>335</v>
      </c>
      <c r="F98" s="174">
        <f>Memória!C356</f>
        <v>17.04</v>
      </c>
      <c r="G98" s="191">
        <v>48.92</v>
      </c>
      <c r="H98" s="191">
        <f>ROUND((G98*(1+$I$5)),2)</f>
        <v>63.08</v>
      </c>
      <c r="I98" s="191">
        <f t="shared" si="24"/>
        <v>1074.8800000000001</v>
      </c>
    </row>
    <row r="99" spans="1:9" s="165" customFormat="1" ht="13" x14ac:dyDescent="0.3">
      <c r="A99" s="206" t="s">
        <v>401</v>
      </c>
      <c r="B99" s="206"/>
      <c r="C99" s="206"/>
      <c r="D99" s="204" t="s">
        <v>362</v>
      </c>
      <c r="E99" s="206"/>
      <c r="F99" s="207"/>
      <c r="G99" s="208"/>
      <c r="H99" s="212"/>
      <c r="I99" s="208"/>
    </row>
    <row r="100" spans="1:9" s="178" customFormat="1" ht="13" x14ac:dyDescent="0.3">
      <c r="A100" s="182" t="s">
        <v>402</v>
      </c>
      <c r="B100" s="176"/>
      <c r="C100" s="176"/>
      <c r="D100" s="183" t="s">
        <v>363</v>
      </c>
      <c r="E100" s="176"/>
      <c r="F100" s="173"/>
      <c r="G100" s="190"/>
      <c r="H100" s="190"/>
      <c r="I100" s="190"/>
    </row>
    <row r="101" spans="1:9" ht="25" x14ac:dyDescent="0.25">
      <c r="A101" s="171" t="s">
        <v>1221</v>
      </c>
      <c r="B101" s="171" t="s">
        <v>598</v>
      </c>
      <c r="C101" s="171" t="s">
        <v>798</v>
      </c>
      <c r="D101" s="172" t="s">
        <v>815</v>
      </c>
      <c r="E101" s="171" t="s">
        <v>333</v>
      </c>
      <c r="F101" s="174">
        <f>Memória!D362</f>
        <v>42</v>
      </c>
      <c r="G101" s="191">
        <v>63.2</v>
      </c>
      <c r="H101" s="191">
        <f>ROUND((G101*(1+$I$5)),2)</f>
        <v>81.5</v>
      </c>
      <c r="I101" s="191">
        <f t="shared" ref="I101:I136" si="25">ROUND((H101*F101),2)</f>
        <v>3423</v>
      </c>
    </row>
    <row r="102" spans="1:9" ht="25" x14ac:dyDescent="0.25">
      <c r="A102" s="171" t="s">
        <v>1222</v>
      </c>
      <c r="B102" s="171" t="s">
        <v>654</v>
      </c>
      <c r="C102" s="171" t="s">
        <v>798</v>
      </c>
      <c r="D102" s="172" t="s">
        <v>871</v>
      </c>
      <c r="E102" s="171" t="s">
        <v>331</v>
      </c>
      <c r="F102" s="174">
        <f>Memória!E362</f>
        <v>35</v>
      </c>
      <c r="G102" s="191">
        <v>12.11</v>
      </c>
      <c r="H102" s="191">
        <f>ROUND((G102*(1+$I$5)),2)</f>
        <v>15.62</v>
      </c>
      <c r="I102" s="191">
        <f t="shared" si="25"/>
        <v>546.70000000000005</v>
      </c>
    </row>
    <row r="103" spans="1:9" ht="25" x14ac:dyDescent="0.25">
      <c r="A103" s="171" t="s">
        <v>1223</v>
      </c>
      <c r="B103" s="171" t="s">
        <v>655</v>
      </c>
      <c r="C103" s="171" t="s">
        <v>798</v>
      </c>
      <c r="D103" s="172" t="s">
        <v>872</v>
      </c>
      <c r="E103" s="171" t="s">
        <v>333</v>
      </c>
      <c r="F103" s="174">
        <f>Memória!F362</f>
        <v>42</v>
      </c>
      <c r="G103" s="191">
        <v>45.71</v>
      </c>
      <c r="H103" s="191">
        <f>ROUND((G103*(1+$I$5)),2)</f>
        <v>58.94</v>
      </c>
      <c r="I103" s="191">
        <f t="shared" si="25"/>
        <v>2475.48</v>
      </c>
    </row>
    <row r="104" spans="1:9" ht="25" x14ac:dyDescent="0.25">
      <c r="A104" s="171" t="s">
        <v>1224</v>
      </c>
      <c r="B104" s="171" t="s">
        <v>1177</v>
      </c>
      <c r="C104" s="171" t="s">
        <v>798</v>
      </c>
      <c r="D104" s="172" t="s">
        <v>1178</v>
      </c>
      <c r="E104" s="171" t="s">
        <v>335</v>
      </c>
      <c r="F104" s="174">
        <f>Memória!A362</f>
        <v>70</v>
      </c>
      <c r="G104" s="191">
        <v>21.09</v>
      </c>
      <c r="H104" s="191">
        <f>ROUND((G104*(1+$I$5)),2)</f>
        <v>27.2</v>
      </c>
      <c r="I104" s="191">
        <f t="shared" si="25"/>
        <v>1904</v>
      </c>
    </row>
    <row r="105" spans="1:9" s="178" customFormat="1" ht="13" x14ac:dyDescent="0.3">
      <c r="A105" s="182" t="s">
        <v>403</v>
      </c>
      <c r="B105" s="176"/>
      <c r="C105" s="176"/>
      <c r="D105" s="183" t="s">
        <v>364</v>
      </c>
      <c r="E105" s="176"/>
      <c r="F105" s="173"/>
      <c r="G105" s="190"/>
      <c r="H105" s="190"/>
      <c r="I105" s="190"/>
    </row>
    <row r="106" spans="1:9" s="178" customFormat="1" ht="37.5" x14ac:dyDescent="0.25">
      <c r="A106" s="176" t="s">
        <v>1225</v>
      </c>
      <c r="B106" s="176" t="s">
        <v>1179</v>
      </c>
      <c r="C106" s="171" t="s">
        <v>798</v>
      </c>
      <c r="D106" s="177" t="s">
        <v>1226</v>
      </c>
      <c r="E106" s="171" t="s">
        <v>323</v>
      </c>
      <c r="F106" s="173">
        <v>1</v>
      </c>
      <c r="G106" s="191">
        <v>189.75</v>
      </c>
      <c r="H106" s="191">
        <f t="shared" ref="H106:H109" si="26">ROUND((G106*(1+$I$5)),2)</f>
        <v>244.68</v>
      </c>
      <c r="I106" s="191">
        <f t="shared" ref="I106:I108" si="27">ROUND((H106*F106),2)</f>
        <v>244.68</v>
      </c>
    </row>
    <row r="107" spans="1:9" s="178" customFormat="1" ht="25" x14ac:dyDescent="0.25">
      <c r="A107" s="176" t="s">
        <v>1229</v>
      </c>
      <c r="B107" s="176" t="s">
        <v>1180</v>
      </c>
      <c r="C107" s="171" t="s">
        <v>798</v>
      </c>
      <c r="D107" s="177" t="s">
        <v>1227</v>
      </c>
      <c r="E107" s="171" t="s">
        <v>323</v>
      </c>
      <c r="F107" s="173">
        <v>2</v>
      </c>
      <c r="G107" s="191">
        <v>31.43</v>
      </c>
      <c r="H107" s="191">
        <f t="shared" si="26"/>
        <v>40.53</v>
      </c>
      <c r="I107" s="191">
        <f t="shared" si="27"/>
        <v>81.06</v>
      </c>
    </row>
    <row r="108" spans="1:9" s="178" customFormat="1" ht="37.5" x14ac:dyDescent="0.25">
      <c r="A108" s="176" t="s">
        <v>1230</v>
      </c>
      <c r="B108" s="176" t="s">
        <v>1181</v>
      </c>
      <c r="C108" s="171" t="s">
        <v>798</v>
      </c>
      <c r="D108" s="177" t="s">
        <v>1228</v>
      </c>
      <c r="E108" s="171" t="s">
        <v>323</v>
      </c>
      <c r="F108" s="173">
        <v>2</v>
      </c>
      <c r="G108" s="191">
        <v>87.28</v>
      </c>
      <c r="H108" s="191">
        <f t="shared" si="26"/>
        <v>112.55</v>
      </c>
      <c r="I108" s="191">
        <f t="shared" si="27"/>
        <v>225.1</v>
      </c>
    </row>
    <row r="109" spans="1:9" s="178" customFormat="1" ht="25" x14ac:dyDescent="0.25">
      <c r="A109" s="176" t="s">
        <v>1231</v>
      </c>
      <c r="B109" s="171" t="s">
        <v>1177</v>
      </c>
      <c r="C109" s="171" t="s">
        <v>798</v>
      </c>
      <c r="D109" s="172" t="s">
        <v>1178</v>
      </c>
      <c r="E109" s="171" t="s">
        <v>335</v>
      </c>
      <c r="F109" s="174">
        <f>133</f>
        <v>133</v>
      </c>
      <c r="G109" s="191">
        <v>21.09</v>
      </c>
      <c r="H109" s="191">
        <f t="shared" si="26"/>
        <v>27.2</v>
      </c>
      <c r="I109" s="191">
        <f t="shared" ref="I109" si="28">ROUND((H109*F109),2)</f>
        <v>3617.6</v>
      </c>
    </row>
    <row r="110" spans="1:9" ht="37.5" x14ac:dyDescent="0.25">
      <c r="A110" s="176" t="s">
        <v>1232</v>
      </c>
      <c r="B110" s="171" t="s">
        <v>657</v>
      </c>
      <c r="C110" s="171" t="s">
        <v>798</v>
      </c>
      <c r="D110" s="172" t="s">
        <v>874</v>
      </c>
      <c r="E110" s="171" t="s">
        <v>323</v>
      </c>
      <c r="F110" s="174">
        <v>9</v>
      </c>
      <c r="G110" s="191">
        <v>300.52</v>
      </c>
      <c r="H110" s="191">
        <f t="shared" ref="H110:H116" si="29">ROUND((G110*(1+$I$5)),2)</f>
        <v>387.52</v>
      </c>
      <c r="I110" s="191">
        <f t="shared" si="25"/>
        <v>3487.68</v>
      </c>
    </row>
    <row r="111" spans="1:9" ht="25" x14ac:dyDescent="0.25">
      <c r="A111" s="176" t="s">
        <v>1233</v>
      </c>
      <c r="B111" s="171" t="s">
        <v>658</v>
      </c>
      <c r="C111" s="171" t="s">
        <v>798</v>
      </c>
      <c r="D111" s="172" t="s">
        <v>875</v>
      </c>
      <c r="E111" s="171" t="s">
        <v>323</v>
      </c>
      <c r="F111" s="174">
        <v>9</v>
      </c>
      <c r="G111" s="191">
        <v>57.34</v>
      </c>
      <c r="H111" s="191">
        <f t="shared" si="29"/>
        <v>73.94</v>
      </c>
      <c r="I111" s="191">
        <f t="shared" si="25"/>
        <v>665.46</v>
      </c>
    </row>
    <row r="112" spans="1:9" s="178" customFormat="1" ht="25" x14ac:dyDescent="0.25">
      <c r="A112" s="176" t="s">
        <v>1234</v>
      </c>
      <c r="B112" s="176" t="s">
        <v>1050</v>
      </c>
      <c r="C112" s="176" t="s">
        <v>1050</v>
      </c>
      <c r="D112" s="177" t="str">
        <f>CPU!B16</f>
        <v>CAIXA D'AGUA POLIETILENO - 1.000 LITROS (FORNECIMENTO E INSTALAÇÃO)</v>
      </c>
      <c r="E112" s="176" t="s">
        <v>323</v>
      </c>
      <c r="F112" s="173">
        <v>9</v>
      </c>
      <c r="G112" s="194">
        <f>CPU!H21</f>
        <v>478.62</v>
      </c>
      <c r="H112" s="190">
        <f t="shared" si="29"/>
        <v>617.17999999999995</v>
      </c>
      <c r="I112" s="190">
        <f t="shared" si="25"/>
        <v>5554.62</v>
      </c>
    </row>
    <row r="113" spans="1:9" ht="25" x14ac:dyDescent="0.25">
      <c r="A113" s="176" t="s">
        <v>1235</v>
      </c>
      <c r="B113" s="171" t="s">
        <v>659</v>
      </c>
      <c r="C113" s="171" t="s">
        <v>798</v>
      </c>
      <c r="D113" s="172" t="s">
        <v>876</v>
      </c>
      <c r="E113" s="171" t="s">
        <v>335</v>
      </c>
      <c r="F113" s="174">
        <v>50</v>
      </c>
      <c r="G113" s="191">
        <v>27.87</v>
      </c>
      <c r="H113" s="191">
        <f t="shared" si="29"/>
        <v>35.94</v>
      </c>
      <c r="I113" s="191">
        <f t="shared" si="25"/>
        <v>1797</v>
      </c>
    </row>
    <row r="114" spans="1:9" ht="25" x14ac:dyDescent="0.25">
      <c r="A114" s="176" t="s">
        <v>1236</v>
      </c>
      <c r="B114" s="171" t="s">
        <v>660</v>
      </c>
      <c r="C114" s="171" t="s">
        <v>798</v>
      </c>
      <c r="D114" s="172" t="s">
        <v>877</v>
      </c>
      <c r="E114" s="171" t="s">
        <v>335</v>
      </c>
      <c r="F114" s="174">
        <v>100</v>
      </c>
      <c r="G114" s="191">
        <v>18.940000000000001</v>
      </c>
      <c r="H114" s="191">
        <f t="shared" si="29"/>
        <v>24.42</v>
      </c>
      <c r="I114" s="191">
        <f t="shared" si="25"/>
        <v>2442</v>
      </c>
    </row>
    <row r="115" spans="1:9" ht="37.5" x14ac:dyDescent="0.25">
      <c r="A115" s="176" t="s">
        <v>1237</v>
      </c>
      <c r="B115" s="171" t="s">
        <v>661</v>
      </c>
      <c r="C115" s="171" t="s">
        <v>798</v>
      </c>
      <c r="D115" s="172" t="s">
        <v>878</v>
      </c>
      <c r="E115" s="171" t="s">
        <v>323</v>
      </c>
      <c r="F115" s="174">
        <v>2</v>
      </c>
      <c r="G115" s="191">
        <v>110.59</v>
      </c>
      <c r="H115" s="191">
        <f t="shared" si="29"/>
        <v>142.61000000000001</v>
      </c>
      <c r="I115" s="191">
        <f t="shared" si="25"/>
        <v>285.22000000000003</v>
      </c>
    </row>
    <row r="116" spans="1:9" ht="37.5" x14ac:dyDescent="0.25">
      <c r="A116" s="176" t="s">
        <v>1238</v>
      </c>
      <c r="B116" s="171" t="s">
        <v>662</v>
      </c>
      <c r="C116" s="171" t="s">
        <v>798</v>
      </c>
      <c r="D116" s="172" t="s">
        <v>879</v>
      </c>
      <c r="E116" s="171" t="s">
        <v>323</v>
      </c>
      <c r="F116" s="174">
        <v>10</v>
      </c>
      <c r="G116" s="191">
        <v>83</v>
      </c>
      <c r="H116" s="191">
        <f t="shared" si="29"/>
        <v>107.03</v>
      </c>
      <c r="I116" s="191">
        <f t="shared" si="25"/>
        <v>1070.3</v>
      </c>
    </row>
    <row r="117" spans="1:9" s="178" customFormat="1" ht="13" x14ac:dyDescent="0.3">
      <c r="A117" s="182" t="s">
        <v>404</v>
      </c>
      <c r="B117" s="176"/>
      <c r="C117" s="176"/>
      <c r="D117" s="183" t="s">
        <v>1174</v>
      </c>
      <c r="E117" s="176"/>
      <c r="F117" s="173"/>
      <c r="G117" s="190"/>
      <c r="H117" s="190"/>
      <c r="I117" s="190"/>
    </row>
    <row r="118" spans="1:9" ht="62.5" x14ac:dyDescent="0.25">
      <c r="A118" s="171" t="s">
        <v>1239</v>
      </c>
      <c r="B118" s="171" t="s">
        <v>663</v>
      </c>
      <c r="C118" s="171" t="s">
        <v>798</v>
      </c>
      <c r="D118" s="172" t="s">
        <v>880</v>
      </c>
      <c r="E118" s="171" t="s">
        <v>323</v>
      </c>
      <c r="F118" s="174">
        <f>Memória!C370</f>
        <v>36</v>
      </c>
      <c r="G118" s="191">
        <v>123.2</v>
      </c>
      <c r="H118" s="191">
        <f t="shared" ref="H118:H126" si="30">ROUND((G118*(1+$I$5)),2)</f>
        <v>158.87</v>
      </c>
      <c r="I118" s="191">
        <f t="shared" si="25"/>
        <v>5719.32</v>
      </c>
    </row>
    <row r="119" spans="1:9" ht="25" x14ac:dyDescent="0.25">
      <c r="A119" s="171" t="s">
        <v>1240</v>
      </c>
      <c r="B119" s="171" t="s">
        <v>1177</v>
      </c>
      <c r="C119" s="171" t="s">
        <v>798</v>
      </c>
      <c r="D119" s="172" t="s">
        <v>1189</v>
      </c>
      <c r="E119" s="171" t="s">
        <v>335</v>
      </c>
      <c r="F119" s="174">
        <v>97</v>
      </c>
      <c r="G119" s="191">
        <v>21.09</v>
      </c>
      <c r="H119" s="191">
        <f t="shared" si="30"/>
        <v>27.2</v>
      </c>
      <c r="I119" s="191">
        <f t="shared" si="25"/>
        <v>2638.4</v>
      </c>
    </row>
    <row r="120" spans="1:9" ht="25" x14ac:dyDescent="0.25">
      <c r="A120" s="171" t="s">
        <v>1241</v>
      </c>
      <c r="B120" s="171" t="s">
        <v>1183</v>
      </c>
      <c r="C120" s="171" t="s">
        <v>798</v>
      </c>
      <c r="D120" s="172" t="s">
        <v>1190</v>
      </c>
      <c r="E120" s="171" t="s">
        <v>335</v>
      </c>
      <c r="F120" s="174">
        <v>19</v>
      </c>
      <c r="G120" s="191">
        <v>34.229999999999997</v>
      </c>
      <c r="H120" s="191">
        <f t="shared" si="30"/>
        <v>44.14</v>
      </c>
      <c r="I120" s="191">
        <f t="shared" si="25"/>
        <v>838.66</v>
      </c>
    </row>
    <row r="121" spans="1:9" ht="25" x14ac:dyDescent="0.25">
      <c r="A121" s="171" t="s">
        <v>1242</v>
      </c>
      <c r="B121" s="171" t="s">
        <v>656</v>
      </c>
      <c r="C121" s="171" t="s">
        <v>798</v>
      </c>
      <c r="D121" s="172" t="s">
        <v>873</v>
      </c>
      <c r="E121" s="171" t="s">
        <v>335</v>
      </c>
      <c r="F121" s="174">
        <v>70</v>
      </c>
      <c r="G121" s="191">
        <v>33.65</v>
      </c>
      <c r="H121" s="191">
        <f t="shared" si="30"/>
        <v>43.39</v>
      </c>
      <c r="I121" s="191">
        <f t="shared" si="25"/>
        <v>3037.3</v>
      </c>
    </row>
    <row r="122" spans="1:9" ht="25" x14ac:dyDescent="0.25">
      <c r="A122" s="171" t="s">
        <v>1243</v>
      </c>
      <c r="B122" s="171" t="s">
        <v>1184</v>
      </c>
      <c r="C122" s="171" t="s">
        <v>798</v>
      </c>
      <c r="D122" s="172" t="s">
        <v>1191</v>
      </c>
      <c r="E122" s="171" t="s">
        <v>335</v>
      </c>
      <c r="F122" s="174">
        <v>47</v>
      </c>
      <c r="G122" s="191">
        <v>50.73</v>
      </c>
      <c r="H122" s="191">
        <f t="shared" si="30"/>
        <v>65.42</v>
      </c>
      <c r="I122" s="191">
        <f t="shared" si="25"/>
        <v>3074.74</v>
      </c>
    </row>
    <row r="123" spans="1:9" ht="37.5" x14ac:dyDescent="0.25">
      <c r="A123" s="171" t="s">
        <v>1244</v>
      </c>
      <c r="B123" s="171" t="s">
        <v>1185</v>
      </c>
      <c r="C123" s="171" t="s">
        <v>798</v>
      </c>
      <c r="D123" s="172" t="s">
        <v>1192</v>
      </c>
      <c r="E123" s="171" t="s">
        <v>323</v>
      </c>
      <c r="F123" s="174">
        <v>12</v>
      </c>
      <c r="G123" s="191">
        <v>98.27</v>
      </c>
      <c r="H123" s="191">
        <f t="shared" si="30"/>
        <v>126.72</v>
      </c>
      <c r="I123" s="191">
        <f t="shared" si="25"/>
        <v>1520.64</v>
      </c>
    </row>
    <row r="124" spans="1:9" ht="37.5" x14ac:dyDescent="0.25">
      <c r="A124" s="171" t="s">
        <v>1245</v>
      </c>
      <c r="B124" s="171" t="s">
        <v>1186</v>
      </c>
      <c r="C124" s="171" t="s">
        <v>798</v>
      </c>
      <c r="D124" s="172" t="s">
        <v>1193</v>
      </c>
      <c r="E124" s="171" t="s">
        <v>323</v>
      </c>
      <c r="F124" s="174">
        <v>30</v>
      </c>
      <c r="G124" s="191">
        <v>52.61</v>
      </c>
      <c r="H124" s="191">
        <f t="shared" si="30"/>
        <v>67.84</v>
      </c>
      <c r="I124" s="191">
        <f t="shared" si="25"/>
        <v>2035.2</v>
      </c>
    </row>
    <row r="125" spans="1:9" ht="37.5" x14ac:dyDescent="0.25">
      <c r="A125" s="171" t="s">
        <v>1246</v>
      </c>
      <c r="B125" s="171" t="s">
        <v>1187</v>
      </c>
      <c r="C125" s="171" t="s">
        <v>798</v>
      </c>
      <c r="D125" s="172" t="s">
        <v>1194</v>
      </c>
      <c r="E125" s="171" t="s">
        <v>323</v>
      </c>
      <c r="F125" s="174">
        <v>1</v>
      </c>
      <c r="G125" s="191">
        <v>84.15</v>
      </c>
      <c r="H125" s="191">
        <f t="shared" si="30"/>
        <v>108.51</v>
      </c>
      <c r="I125" s="191">
        <f t="shared" si="25"/>
        <v>108.51</v>
      </c>
    </row>
    <row r="126" spans="1:9" ht="37.5" x14ac:dyDescent="0.25">
      <c r="A126" s="171" t="s">
        <v>1247</v>
      </c>
      <c r="B126" s="171" t="s">
        <v>1188</v>
      </c>
      <c r="C126" s="171" t="s">
        <v>798</v>
      </c>
      <c r="D126" s="172" t="s">
        <v>1195</v>
      </c>
      <c r="E126" s="171" t="s">
        <v>323</v>
      </c>
      <c r="F126" s="174">
        <v>13</v>
      </c>
      <c r="G126" s="191">
        <v>355.01</v>
      </c>
      <c r="H126" s="191">
        <f t="shared" si="30"/>
        <v>457.79</v>
      </c>
      <c r="I126" s="191">
        <f t="shared" si="25"/>
        <v>5951.27</v>
      </c>
    </row>
    <row r="127" spans="1:9" s="178" customFormat="1" ht="13" x14ac:dyDescent="0.3">
      <c r="A127" s="182" t="s">
        <v>405</v>
      </c>
      <c r="B127" s="176"/>
      <c r="C127" s="176"/>
      <c r="D127" s="183" t="s">
        <v>1175</v>
      </c>
      <c r="E127" s="176"/>
      <c r="F127" s="173"/>
      <c r="G127" s="190"/>
      <c r="H127" s="190"/>
      <c r="I127" s="190"/>
    </row>
    <row r="128" spans="1:9" ht="100" x14ac:dyDescent="0.25">
      <c r="A128" s="171" t="s">
        <v>1248</v>
      </c>
      <c r="B128" s="171" t="s">
        <v>664</v>
      </c>
      <c r="C128" s="171" t="s">
        <v>798</v>
      </c>
      <c r="D128" s="172" t="s">
        <v>881</v>
      </c>
      <c r="E128" s="171" t="s">
        <v>323</v>
      </c>
      <c r="F128" s="174">
        <f>Memória!B374</f>
        <v>14</v>
      </c>
      <c r="G128" s="191">
        <v>145.58000000000001</v>
      </c>
      <c r="H128" s="191">
        <f t="shared" ref="H128:H136" si="31">ROUND((G128*(1+$I$5)),2)</f>
        <v>187.73</v>
      </c>
      <c r="I128" s="191">
        <f t="shared" si="25"/>
        <v>2628.22</v>
      </c>
    </row>
    <row r="129" spans="1:9" ht="75" x14ac:dyDescent="0.25">
      <c r="A129" s="171" t="s">
        <v>1249</v>
      </c>
      <c r="B129" s="171" t="s">
        <v>665</v>
      </c>
      <c r="C129" s="171" t="s">
        <v>798</v>
      </c>
      <c r="D129" s="172" t="s">
        <v>882</v>
      </c>
      <c r="E129" s="171" t="s">
        <v>323</v>
      </c>
      <c r="F129" s="174">
        <f>Memória!B375</f>
        <v>21</v>
      </c>
      <c r="G129" s="191">
        <v>198.2</v>
      </c>
      <c r="H129" s="191">
        <f t="shared" si="31"/>
        <v>255.58</v>
      </c>
      <c r="I129" s="191">
        <f t="shared" si="25"/>
        <v>5367.18</v>
      </c>
    </row>
    <row r="130" spans="1:9" ht="62.5" x14ac:dyDescent="0.25">
      <c r="A130" s="171" t="s">
        <v>1250</v>
      </c>
      <c r="B130" s="171" t="s">
        <v>666</v>
      </c>
      <c r="C130" s="171" t="s">
        <v>798</v>
      </c>
      <c r="D130" s="172" t="s">
        <v>883</v>
      </c>
      <c r="E130" s="171" t="s">
        <v>323</v>
      </c>
      <c r="F130" s="174">
        <f>Memória!B376</f>
        <v>11</v>
      </c>
      <c r="G130" s="191">
        <v>276.05</v>
      </c>
      <c r="H130" s="191">
        <f t="shared" si="31"/>
        <v>355.97</v>
      </c>
      <c r="I130" s="191">
        <f t="shared" si="25"/>
        <v>3915.67</v>
      </c>
    </row>
    <row r="131" spans="1:9" ht="25" x14ac:dyDescent="0.25">
      <c r="A131" s="171" t="s">
        <v>1251</v>
      </c>
      <c r="B131" s="171" t="s">
        <v>667</v>
      </c>
      <c r="C131" s="171" t="s">
        <v>798</v>
      </c>
      <c r="D131" s="172" t="s">
        <v>1176</v>
      </c>
      <c r="E131" s="171" t="s">
        <v>323</v>
      </c>
      <c r="F131" s="174">
        <v>21</v>
      </c>
      <c r="G131" s="191">
        <v>79.28</v>
      </c>
      <c r="H131" s="191">
        <f t="shared" si="31"/>
        <v>102.23</v>
      </c>
      <c r="I131" s="191">
        <f t="shared" si="25"/>
        <v>2146.83</v>
      </c>
    </row>
    <row r="132" spans="1:9" ht="25" x14ac:dyDescent="0.25">
      <c r="A132" s="171" t="s">
        <v>1252</v>
      </c>
      <c r="B132" s="171" t="s">
        <v>1196</v>
      </c>
      <c r="C132" s="171" t="s">
        <v>798</v>
      </c>
      <c r="D132" s="172" t="s">
        <v>1201</v>
      </c>
      <c r="E132" s="171" t="s">
        <v>323</v>
      </c>
      <c r="F132" s="174">
        <v>2</v>
      </c>
      <c r="G132" s="191">
        <v>111.38</v>
      </c>
      <c r="H132" s="191">
        <f t="shared" si="31"/>
        <v>143.62</v>
      </c>
      <c r="I132" s="191">
        <f t="shared" si="25"/>
        <v>287.24</v>
      </c>
    </row>
    <row r="133" spans="1:9" ht="50" x14ac:dyDescent="0.25">
      <c r="A133" s="171" t="s">
        <v>1253</v>
      </c>
      <c r="B133" s="171" t="s">
        <v>1197</v>
      </c>
      <c r="C133" s="171" t="s">
        <v>798</v>
      </c>
      <c r="D133" s="172" t="s">
        <v>1202</v>
      </c>
      <c r="E133" s="171" t="s">
        <v>323</v>
      </c>
      <c r="F133" s="174">
        <v>1</v>
      </c>
      <c r="G133" s="191">
        <v>244.75</v>
      </c>
      <c r="H133" s="191">
        <f t="shared" si="31"/>
        <v>315.61</v>
      </c>
      <c r="I133" s="191">
        <f t="shared" si="25"/>
        <v>315.61</v>
      </c>
    </row>
    <row r="134" spans="1:9" ht="25" x14ac:dyDescent="0.25">
      <c r="A134" s="171" t="s">
        <v>1254</v>
      </c>
      <c r="B134" s="171" t="s">
        <v>1198</v>
      </c>
      <c r="C134" s="171" t="s">
        <v>798</v>
      </c>
      <c r="D134" s="172" t="s">
        <v>1203</v>
      </c>
      <c r="E134" s="171" t="s">
        <v>323</v>
      </c>
      <c r="F134" s="174">
        <v>1</v>
      </c>
      <c r="G134" s="191">
        <v>83.78</v>
      </c>
      <c r="H134" s="191">
        <f t="shared" si="31"/>
        <v>108.03</v>
      </c>
      <c r="I134" s="191">
        <f t="shared" si="25"/>
        <v>108.03</v>
      </c>
    </row>
    <row r="135" spans="1:9" x14ac:dyDescent="0.25">
      <c r="A135" s="171" t="s">
        <v>1255</v>
      </c>
      <c r="B135" s="171" t="s">
        <v>1199</v>
      </c>
      <c r="C135" s="171" t="s">
        <v>798</v>
      </c>
      <c r="D135" s="172" t="s">
        <v>1204</v>
      </c>
      <c r="E135" s="171" t="s">
        <v>323</v>
      </c>
      <c r="F135" s="174">
        <v>1</v>
      </c>
      <c r="G135" s="191">
        <v>71.989999999999995</v>
      </c>
      <c r="H135" s="191">
        <f t="shared" si="31"/>
        <v>92.83</v>
      </c>
      <c r="I135" s="191">
        <f t="shared" si="25"/>
        <v>92.83</v>
      </c>
    </row>
    <row r="136" spans="1:9" ht="25" x14ac:dyDescent="0.25">
      <c r="A136" s="171" t="s">
        <v>1256</v>
      </c>
      <c r="B136" s="171" t="s">
        <v>1200</v>
      </c>
      <c r="C136" s="171" t="s">
        <v>798</v>
      </c>
      <c r="D136" s="172" t="s">
        <v>1176</v>
      </c>
      <c r="E136" s="171" t="s">
        <v>323</v>
      </c>
      <c r="F136" s="174">
        <v>2</v>
      </c>
      <c r="G136" s="191">
        <v>79.28</v>
      </c>
      <c r="H136" s="191">
        <f t="shared" si="31"/>
        <v>102.23</v>
      </c>
      <c r="I136" s="191">
        <f t="shared" si="25"/>
        <v>204.46</v>
      </c>
    </row>
    <row r="137" spans="1:9" ht="13" x14ac:dyDescent="0.3">
      <c r="A137" s="184" t="s">
        <v>1257</v>
      </c>
      <c r="B137" s="171"/>
      <c r="C137" s="171"/>
      <c r="D137" s="185" t="s">
        <v>365</v>
      </c>
      <c r="E137" s="171"/>
      <c r="F137" s="174"/>
      <c r="G137" s="191"/>
      <c r="H137" s="191"/>
      <c r="I137" s="191"/>
    </row>
    <row r="138" spans="1:9" ht="37.5" x14ac:dyDescent="0.25">
      <c r="A138" s="171" t="s">
        <v>1258</v>
      </c>
      <c r="B138" s="171" t="s">
        <v>668</v>
      </c>
      <c r="C138" s="171" t="s">
        <v>798</v>
      </c>
      <c r="D138" s="172" t="s">
        <v>885</v>
      </c>
      <c r="E138" s="171" t="s">
        <v>323</v>
      </c>
      <c r="F138" s="174">
        <f>Memória!C393</f>
        <v>2</v>
      </c>
      <c r="G138" s="191">
        <v>26.93</v>
      </c>
      <c r="H138" s="191">
        <f t="shared" ref="H138:H150" si="32">ROUND((G138*(1+$I$5)),2)</f>
        <v>34.729999999999997</v>
      </c>
      <c r="I138" s="191">
        <f t="shared" ref="I138:I150" si="33">ROUND((H138*F138),2)</f>
        <v>69.459999999999994</v>
      </c>
    </row>
    <row r="139" spans="1:9" ht="50" x14ac:dyDescent="0.25">
      <c r="A139" s="171" t="s">
        <v>1259</v>
      </c>
      <c r="B139" s="171" t="s">
        <v>669</v>
      </c>
      <c r="C139" s="171" t="s">
        <v>798</v>
      </c>
      <c r="D139" s="172" t="s">
        <v>886</v>
      </c>
      <c r="E139" s="171" t="s">
        <v>323</v>
      </c>
      <c r="F139" s="174">
        <f>Memória!C384</f>
        <v>4</v>
      </c>
      <c r="G139" s="191">
        <v>527.30999999999995</v>
      </c>
      <c r="H139" s="191">
        <f t="shared" si="32"/>
        <v>679.97</v>
      </c>
      <c r="I139" s="191">
        <f t="shared" si="33"/>
        <v>2719.88</v>
      </c>
    </row>
    <row r="140" spans="1:9" ht="112.5" x14ac:dyDescent="0.25">
      <c r="A140" s="171" t="s">
        <v>1260</v>
      </c>
      <c r="B140" s="171" t="s">
        <v>670</v>
      </c>
      <c r="C140" s="171" t="s">
        <v>798</v>
      </c>
      <c r="D140" s="172" t="s">
        <v>887</v>
      </c>
      <c r="E140" s="171" t="s">
        <v>323</v>
      </c>
      <c r="F140" s="174">
        <f>Memória!C385</f>
        <v>7</v>
      </c>
      <c r="G140" s="191">
        <v>833.4</v>
      </c>
      <c r="H140" s="191">
        <f t="shared" si="32"/>
        <v>1074.67</v>
      </c>
      <c r="I140" s="191">
        <f t="shared" si="33"/>
        <v>7522.69</v>
      </c>
    </row>
    <row r="141" spans="1:9" ht="75" x14ac:dyDescent="0.25">
      <c r="A141" s="171" t="s">
        <v>1261</v>
      </c>
      <c r="B141" s="171" t="s">
        <v>671</v>
      </c>
      <c r="C141" s="171" t="s">
        <v>798</v>
      </c>
      <c r="D141" s="172" t="s">
        <v>888</v>
      </c>
      <c r="E141" s="171" t="s">
        <v>323</v>
      </c>
      <c r="F141" s="174">
        <f>Memória!C386</f>
        <v>8</v>
      </c>
      <c r="G141" s="191">
        <v>533.6</v>
      </c>
      <c r="H141" s="191">
        <f t="shared" si="32"/>
        <v>688.08</v>
      </c>
      <c r="I141" s="191">
        <f t="shared" si="33"/>
        <v>5504.64</v>
      </c>
    </row>
    <row r="142" spans="1:9" ht="75" x14ac:dyDescent="0.25">
      <c r="A142" s="171" t="s">
        <v>1262</v>
      </c>
      <c r="B142" s="171" t="s">
        <v>672</v>
      </c>
      <c r="C142" s="171" t="s">
        <v>798</v>
      </c>
      <c r="D142" s="172" t="s">
        <v>889</v>
      </c>
      <c r="E142" s="171" t="s">
        <v>323</v>
      </c>
      <c r="F142" s="174">
        <f>Memória!C387</f>
        <v>3</v>
      </c>
      <c r="G142" s="191">
        <v>428.69</v>
      </c>
      <c r="H142" s="191">
        <f t="shared" si="32"/>
        <v>552.79999999999995</v>
      </c>
      <c r="I142" s="191">
        <f t="shared" si="33"/>
        <v>1658.4</v>
      </c>
    </row>
    <row r="143" spans="1:9" ht="50" x14ac:dyDescent="0.25">
      <c r="A143" s="171" t="s">
        <v>1263</v>
      </c>
      <c r="B143" s="171" t="s">
        <v>673</v>
      </c>
      <c r="C143" s="171" t="s">
        <v>798</v>
      </c>
      <c r="D143" s="172" t="s">
        <v>890</v>
      </c>
      <c r="E143" s="171" t="s">
        <v>323</v>
      </c>
      <c r="F143" s="174">
        <f>Memória!C388</f>
        <v>6</v>
      </c>
      <c r="G143" s="191">
        <v>387.7</v>
      </c>
      <c r="H143" s="191">
        <f t="shared" si="32"/>
        <v>499.94</v>
      </c>
      <c r="I143" s="191">
        <f t="shared" si="33"/>
        <v>2999.64</v>
      </c>
    </row>
    <row r="144" spans="1:9" ht="62.5" x14ac:dyDescent="0.25">
      <c r="A144" s="171" t="s">
        <v>1264</v>
      </c>
      <c r="B144" s="171" t="s">
        <v>674</v>
      </c>
      <c r="C144" s="171" t="s">
        <v>798</v>
      </c>
      <c r="D144" s="172" t="s">
        <v>891</v>
      </c>
      <c r="E144" s="171" t="s">
        <v>323</v>
      </c>
      <c r="F144" s="174">
        <f>Memória!C389</f>
        <v>2</v>
      </c>
      <c r="G144" s="191">
        <v>755.7</v>
      </c>
      <c r="H144" s="191">
        <f t="shared" si="32"/>
        <v>974.48</v>
      </c>
      <c r="I144" s="191">
        <f t="shared" si="33"/>
        <v>1948.96</v>
      </c>
    </row>
    <row r="145" spans="1:9" ht="62.5" x14ac:dyDescent="0.25">
      <c r="A145" s="171" t="s">
        <v>1265</v>
      </c>
      <c r="B145" s="171" t="s">
        <v>675</v>
      </c>
      <c r="C145" s="171" t="s">
        <v>798</v>
      </c>
      <c r="D145" s="172" t="s">
        <v>892</v>
      </c>
      <c r="E145" s="171" t="s">
        <v>323</v>
      </c>
      <c r="F145" s="174">
        <f>Memória!C390</f>
        <v>2</v>
      </c>
      <c r="G145" s="191">
        <v>1053.55</v>
      </c>
      <c r="H145" s="191">
        <f t="shared" si="32"/>
        <v>1358.55</v>
      </c>
      <c r="I145" s="191">
        <f t="shared" si="33"/>
        <v>2717.1</v>
      </c>
    </row>
    <row r="146" spans="1:9" ht="37.5" x14ac:dyDescent="0.25">
      <c r="A146" s="171" t="s">
        <v>1266</v>
      </c>
      <c r="B146" s="171" t="s">
        <v>676</v>
      </c>
      <c r="C146" s="171" t="s">
        <v>798</v>
      </c>
      <c r="D146" s="172" t="s">
        <v>893</v>
      </c>
      <c r="E146" s="171" t="s">
        <v>323</v>
      </c>
      <c r="F146" s="174">
        <f>Memória!C391</f>
        <v>5</v>
      </c>
      <c r="G146" s="191">
        <v>366.15</v>
      </c>
      <c r="H146" s="191">
        <f t="shared" si="32"/>
        <v>472.15</v>
      </c>
      <c r="I146" s="191">
        <f t="shared" si="33"/>
        <v>2360.75</v>
      </c>
    </row>
    <row r="147" spans="1:9" ht="62.5" x14ac:dyDescent="0.25">
      <c r="A147" s="171" t="s">
        <v>1267</v>
      </c>
      <c r="B147" s="171" t="s">
        <v>677</v>
      </c>
      <c r="C147" s="171" t="s">
        <v>798</v>
      </c>
      <c r="D147" s="172" t="s">
        <v>894</v>
      </c>
      <c r="E147" s="171" t="s">
        <v>323</v>
      </c>
      <c r="F147" s="174">
        <f>Memória!C392</f>
        <v>11</v>
      </c>
      <c r="G147" s="191">
        <v>106.09</v>
      </c>
      <c r="H147" s="191">
        <f t="shared" si="32"/>
        <v>136.80000000000001</v>
      </c>
      <c r="I147" s="191">
        <f t="shared" si="33"/>
        <v>1504.8</v>
      </c>
    </row>
    <row r="148" spans="1:9" ht="37.5" x14ac:dyDescent="0.25">
      <c r="A148" s="171" t="s">
        <v>1268</v>
      </c>
      <c r="B148" s="171" t="s">
        <v>679</v>
      </c>
      <c r="C148" s="171" t="s">
        <v>798</v>
      </c>
      <c r="D148" s="172" t="s">
        <v>678</v>
      </c>
      <c r="E148" s="171" t="s">
        <v>323</v>
      </c>
      <c r="F148" s="174">
        <f>Memória!C393</f>
        <v>2</v>
      </c>
      <c r="G148" s="191">
        <v>20.56</v>
      </c>
      <c r="H148" s="191">
        <f t="shared" si="32"/>
        <v>26.51</v>
      </c>
      <c r="I148" s="191">
        <f t="shared" si="33"/>
        <v>53.02</v>
      </c>
    </row>
    <row r="149" spans="1:9" ht="25" x14ac:dyDescent="0.25">
      <c r="A149" s="171" t="s">
        <v>1269</v>
      </c>
      <c r="B149" s="171" t="s">
        <v>680</v>
      </c>
      <c r="C149" s="171" t="s">
        <v>798</v>
      </c>
      <c r="D149" s="172" t="s">
        <v>895</v>
      </c>
      <c r="E149" s="171" t="s">
        <v>323</v>
      </c>
      <c r="F149" s="174">
        <f>F148</f>
        <v>2</v>
      </c>
      <c r="G149" s="191">
        <v>111.03</v>
      </c>
      <c r="H149" s="191">
        <f t="shared" si="32"/>
        <v>143.16999999999999</v>
      </c>
      <c r="I149" s="191">
        <f t="shared" si="33"/>
        <v>286.33999999999997</v>
      </c>
    </row>
    <row r="150" spans="1:9" x14ac:dyDescent="0.25">
      <c r="A150" s="171" t="s">
        <v>1270</v>
      </c>
      <c r="B150" s="171" t="s">
        <v>681</v>
      </c>
      <c r="C150" s="171" t="s">
        <v>798</v>
      </c>
      <c r="D150" s="172" t="s">
        <v>896</v>
      </c>
      <c r="E150" s="171" t="s">
        <v>323</v>
      </c>
      <c r="F150" s="174">
        <f>Memória!C394</f>
        <v>1</v>
      </c>
      <c r="G150" s="191">
        <v>1156.1400000000001</v>
      </c>
      <c r="H150" s="191">
        <f t="shared" si="32"/>
        <v>1490.84</v>
      </c>
      <c r="I150" s="191">
        <f t="shared" si="33"/>
        <v>1490.84</v>
      </c>
    </row>
    <row r="151" spans="1:9" s="165" customFormat="1" ht="13" x14ac:dyDescent="0.3">
      <c r="A151" s="206" t="s">
        <v>406</v>
      </c>
      <c r="B151" s="206"/>
      <c r="C151" s="206"/>
      <c r="D151" s="204" t="s">
        <v>366</v>
      </c>
      <c r="E151" s="206"/>
      <c r="F151" s="207"/>
      <c r="G151" s="208"/>
      <c r="H151" s="212"/>
      <c r="I151" s="208"/>
    </row>
    <row r="152" spans="1:9" ht="25" x14ac:dyDescent="0.25">
      <c r="A152" s="171" t="s">
        <v>407</v>
      </c>
      <c r="B152" s="171" t="s">
        <v>598</v>
      </c>
      <c r="C152" s="171" t="s">
        <v>798</v>
      </c>
      <c r="D152" s="172" t="s">
        <v>815</v>
      </c>
      <c r="E152" s="171" t="s">
        <v>333</v>
      </c>
      <c r="F152" s="186">
        <f>F155*0.4*0.6</f>
        <v>40.799999999999997</v>
      </c>
      <c r="G152" s="191">
        <v>63.2</v>
      </c>
      <c r="H152" s="191">
        <f t="shared" ref="H152:H157" si="34">ROUND((G152*(1+$I$5)),2)</f>
        <v>81.5</v>
      </c>
      <c r="I152" s="191">
        <f t="shared" ref="I152:I157" si="35">ROUND((H152*F152),2)</f>
        <v>3325.2</v>
      </c>
    </row>
    <row r="153" spans="1:9" ht="25" x14ac:dyDescent="0.25">
      <c r="A153" s="171" t="s">
        <v>408</v>
      </c>
      <c r="B153" s="171" t="s">
        <v>682</v>
      </c>
      <c r="C153" s="171" t="s">
        <v>798</v>
      </c>
      <c r="D153" s="172" t="s">
        <v>897</v>
      </c>
      <c r="E153" s="171" t="s">
        <v>331</v>
      </c>
      <c r="F153" s="174">
        <f>F155*0.4</f>
        <v>68</v>
      </c>
      <c r="G153" s="191">
        <v>12.11</v>
      </c>
      <c r="H153" s="191">
        <f t="shared" si="34"/>
        <v>15.62</v>
      </c>
      <c r="I153" s="191">
        <f t="shared" si="35"/>
        <v>1062.1600000000001</v>
      </c>
    </row>
    <row r="154" spans="1:9" ht="25" x14ac:dyDescent="0.25">
      <c r="A154" s="171" t="s">
        <v>409</v>
      </c>
      <c r="B154" s="171" t="s">
        <v>604</v>
      </c>
      <c r="C154" s="171" t="s">
        <v>798</v>
      </c>
      <c r="D154" s="172" t="s">
        <v>820</v>
      </c>
      <c r="E154" s="171" t="s">
        <v>333</v>
      </c>
      <c r="F154" s="174">
        <f>+F152*0.95</f>
        <v>38.76</v>
      </c>
      <c r="G154" s="191">
        <v>45.71</v>
      </c>
      <c r="H154" s="191">
        <f t="shared" si="34"/>
        <v>58.94</v>
      </c>
      <c r="I154" s="191">
        <f t="shared" si="35"/>
        <v>2284.5100000000002</v>
      </c>
    </row>
    <row r="155" spans="1:9" ht="37.5" x14ac:dyDescent="0.25">
      <c r="A155" s="171" t="s">
        <v>410</v>
      </c>
      <c r="B155" s="171" t="s">
        <v>683</v>
      </c>
      <c r="C155" s="171" t="s">
        <v>798</v>
      </c>
      <c r="D155" s="172" t="s">
        <v>898</v>
      </c>
      <c r="E155" s="171" t="s">
        <v>335</v>
      </c>
      <c r="F155" s="174">
        <v>170</v>
      </c>
      <c r="G155" s="191">
        <v>35.4</v>
      </c>
      <c r="H155" s="191">
        <f t="shared" si="34"/>
        <v>45.65</v>
      </c>
      <c r="I155" s="191">
        <f t="shared" si="35"/>
        <v>7760.5</v>
      </c>
    </row>
    <row r="156" spans="1:9" ht="62.5" x14ac:dyDescent="0.25">
      <c r="A156" s="171" t="s">
        <v>411</v>
      </c>
      <c r="B156" s="171" t="s">
        <v>684</v>
      </c>
      <c r="C156" s="171" t="s">
        <v>798</v>
      </c>
      <c r="D156" s="172" t="s">
        <v>899</v>
      </c>
      <c r="E156" s="171" t="s">
        <v>323</v>
      </c>
      <c r="F156" s="174">
        <v>6</v>
      </c>
      <c r="G156" s="191">
        <v>239.87</v>
      </c>
      <c r="H156" s="191">
        <f t="shared" si="34"/>
        <v>309.31</v>
      </c>
      <c r="I156" s="191">
        <f t="shared" si="35"/>
        <v>1855.86</v>
      </c>
    </row>
    <row r="157" spans="1:9" ht="62.5" x14ac:dyDescent="0.25">
      <c r="A157" s="171" t="s">
        <v>412</v>
      </c>
      <c r="B157" s="171" t="s">
        <v>685</v>
      </c>
      <c r="C157" s="171" t="s">
        <v>798</v>
      </c>
      <c r="D157" s="172" t="s">
        <v>900</v>
      </c>
      <c r="E157" s="171" t="s">
        <v>323</v>
      </c>
      <c r="F157" s="174">
        <v>6</v>
      </c>
      <c r="G157" s="191">
        <v>316.45</v>
      </c>
      <c r="H157" s="191">
        <f t="shared" si="34"/>
        <v>408.06</v>
      </c>
      <c r="I157" s="191">
        <f t="shared" si="35"/>
        <v>2448.36</v>
      </c>
    </row>
    <row r="158" spans="1:9" s="165" customFormat="1" ht="13" x14ac:dyDescent="0.3">
      <c r="A158" s="206" t="s">
        <v>413</v>
      </c>
      <c r="B158" s="206"/>
      <c r="C158" s="206"/>
      <c r="D158" s="204" t="s">
        <v>371</v>
      </c>
      <c r="E158" s="206"/>
      <c r="F158" s="207"/>
      <c r="G158" s="208"/>
      <c r="H158" s="212"/>
      <c r="I158" s="208"/>
    </row>
    <row r="159" spans="1:9" ht="50" x14ac:dyDescent="0.25">
      <c r="A159" s="171" t="s">
        <v>414</v>
      </c>
      <c r="B159" s="171" t="s">
        <v>686</v>
      </c>
      <c r="C159" s="171" t="s">
        <v>798</v>
      </c>
      <c r="D159" s="172" t="s">
        <v>901</v>
      </c>
      <c r="E159" s="171" t="s">
        <v>323</v>
      </c>
      <c r="F159" s="174">
        <v>1</v>
      </c>
      <c r="G159" s="191">
        <v>3271.03</v>
      </c>
      <c r="H159" s="191">
        <f>ROUND((G159*(1+$I$5)),2)</f>
        <v>4217.99</v>
      </c>
      <c r="I159" s="191">
        <f t="shared" ref="I159" si="36">ROUND((H159*F159),2)</f>
        <v>4217.99</v>
      </c>
    </row>
    <row r="160" spans="1:9" ht="13" x14ac:dyDescent="0.3">
      <c r="A160" s="184" t="s">
        <v>415</v>
      </c>
      <c r="B160" s="171"/>
      <c r="C160" s="171"/>
      <c r="D160" s="185" t="s">
        <v>367</v>
      </c>
      <c r="E160" s="171"/>
      <c r="F160" s="174"/>
      <c r="G160" s="191"/>
      <c r="H160" s="191"/>
      <c r="I160" s="191"/>
    </row>
    <row r="161" spans="1:9" ht="25" x14ac:dyDescent="0.25">
      <c r="A161" s="171" t="s">
        <v>1271</v>
      </c>
      <c r="B161" s="171" t="s">
        <v>598</v>
      </c>
      <c r="C161" s="171" t="s">
        <v>798</v>
      </c>
      <c r="D161" s="172" t="s">
        <v>815</v>
      </c>
      <c r="E161" s="171" t="s">
        <v>333</v>
      </c>
      <c r="F161" s="174">
        <f>Memória!D407</f>
        <v>21</v>
      </c>
      <c r="G161" s="191">
        <v>63.2</v>
      </c>
      <c r="H161" s="191">
        <f t="shared" ref="H161:H166" si="37">ROUND((G161*(1+$I$5)),2)</f>
        <v>81.5</v>
      </c>
      <c r="I161" s="191">
        <f t="shared" ref="I161:I166" si="38">ROUND((H161*F161),2)</f>
        <v>1711.5</v>
      </c>
    </row>
    <row r="162" spans="1:9" ht="25" x14ac:dyDescent="0.25">
      <c r="A162" s="171" t="s">
        <v>1272</v>
      </c>
      <c r="B162" s="171" t="s">
        <v>682</v>
      </c>
      <c r="C162" s="171" t="s">
        <v>798</v>
      </c>
      <c r="D162" s="172" t="s">
        <v>897</v>
      </c>
      <c r="E162" s="171" t="s">
        <v>331</v>
      </c>
      <c r="F162" s="174">
        <f>Memória!E407</f>
        <v>21</v>
      </c>
      <c r="G162" s="191">
        <v>12.11</v>
      </c>
      <c r="H162" s="191">
        <f t="shared" si="37"/>
        <v>15.62</v>
      </c>
      <c r="I162" s="191">
        <f t="shared" si="38"/>
        <v>328.02</v>
      </c>
    </row>
    <row r="163" spans="1:9" ht="25" x14ac:dyDescent="0.25">
      <c r="A163" s="171" t="s">
        <v>1273</v>
      </c>
      <c r="B163" s="171" t="s">
        <v>604</v>
      </c>
      <c r="C163" s="171" t="s">
        <v>798</v>
      </c>
      <c r="D163" s="172" t="s">
        <v>820</v>
      </c>
      <c r="E163" s="171" t="s">
        <v>333</v>
      </c>
      <c r="F163" s="174">
        <f>Memória!F407</f>
        <v>21</v>
      </c>
      <c r="G163" s="191">
        <v>45.71</v>
      </c>
      <c r="H163" s="191">
        <f t="shared" si="37"/>
        <v>58.94</v>
      </c>
      <c r="I163" s="191">
        <f t="shared" si="38"/>
        <v>1237.74</v>
      </c>
    </row>
    <row r="164" spans="1:9" ht="25" x14ac:dyDescent="0.25">
      <c r="A164" s="171" t="s">
        <v>1274</v>
      </c>
      <c r="B164" s="171" t="s">
        <v>687</v>
      </c>
      <c r="C164" s="171" t="s">
        <v>798</v>
      </c>
      <c r="D164" s="172" t="s">
        <v>902</v>
      </c>
      <c r="E164" s="171" t="s">
        <v>335</v>
      </c>
      <c r="F164" s="174">
        <f>Memória!C409</f>
        <v>70</v>
      </c>
      <c r="G164" s="191">
        <v>20.98</v>
      </c>
      <c r="H164" s="191">
        <f t="shared" si="37"/>
        <v>27.05</v>
      </c>
      <c r="I164" s="191">
        <f t="shared" si="38"/>
        <v>1893.5</v>
      </c>
    </row>
    <row r="165" spans="1:9" ht="37.5" x14ac:dyDescent="0.25">
      <c r="A165" s="171" t="s">
        <v>1275</v>
      </c>
      <c r="B165" s="171" t="s">
        <v>688</v>
      </c>
      <c r="C165" s="171" t="s">
        <v>798</v>
      </c>
      <c r="D165" s="172" t="s">
        <v>903</v>
      </c>
      <c r="E165" s="171" t="s">
        <v>323</v>
      </c>
      <c r="F165" s="174">
        <f>Memória!C410</f>
        <v>3</v>
      </c>
      <c r="G165" s="191">
        <v>169.91</v>
      </c>
      <c r="H165" s="191">
        <f t="shared" si="37"/>
        <v>219.1</v>
      </c>
      <c r="I165" s="191">
        <f t="shared" si="38"/>
        <v>657.3</v>
      </c>
    </row>
    <row r="166" spans="1:9" ht="37.5" x14ac:dyDescent="0.25">
      <c r="A166" s="171" t="s">
        <v>1276</v>
      </c>
      <c r="B166" s="171" t="s">
        <v>689</v>
      </c>
      <c r="C166" s="171" t="s">
        <v>798</v>
      </c>
      <c r="D166" s="172" t="s">
        <v>904</v>
      </c>
      <c r="E166" s="171" t="s">
        <v>335</v>
      </c>
      <c r="F166" s="174">
        <f>Memória!C411</f>
        <v>210</v>
      </c>
      <c r="G166" s="191">
        <v>13.79</v>
      </c>
      <c r="H166" s="191">
        <f t="shared" si="37"/>
        <v>17.78</v>
      </c>
      <c r="I166" s="191">
        <f t="shared" si="38"/>
        <v>3733.8</v>
      </c>
    </row>
    <row r="167" spans="1:9" ht="13" x14ac:dyDescent="0.3">
      <c r="A167" s="184" t="s">
        <v>416</v>
      </c>
      <c r="B167" s="171"/>
      <c r="C167" s="171"/>
      <c r="D167" s="185" t="s">
        <v>368</v>
      </c>
      <c r="E167" s="171"/>
      <c r="F167" s="174"/>
      <c r="G167" s="191"/>
      <c r="H167" s="191"/>
      <c r="I167" s="191"/>
    </row>
    <row r="168" spans="1:9" ht="25" x14ac:dyDescent="0.25">
      <c r="A168" s="171" t="s">
        <v>1277</v>
      </c>
      <c r="B168" s="171" t="s">
        <v>690</v>
      </c>
      <c r="C168" s="171" t="s">
        <v>798</v>
      </c>
      <c r="D168" s="172" t="s">
        <v>905</v>
      </c>
      <c r="E168" s="171" t="s">
        <v>323</v>
      </c>
      <c r="F168" s="174">
        <v>3</v>
      </c>
      <c r="G168" s="191">
        <v>200.54</v>
      </c>
      <c r="H168" s="191">
        <f t="shared" ref="H168:H173" si="39">ROUND((G168*(1+$I$5)),2)</f>
        <v>258.60000000000002</v>
      </c>
      <c r="I168" s="191">
        <f t="shared" ref="I168:I198" si="40">ROUND((H168*F168),2)</f>
        <v>775.8</v>
      </c>
    </row>
    <row r="169" spans="1:9" ht="50" x14ac:dyDescent="0.25">
      <c r="A169" s="171" t="s">
        <v>1278</v>
      </c>
      <c r="B169" s="171" t="s">
        <v>691</v>
      </c>
      <c r="C169" s="171" t="s">
        <v>798</v>
      </c>
      <c r="D169" s="172" t="s">
        <v>906</v>
      </c>
      <c r="E169" s="171" t="s">
        <v>323</v>
      </c>
      <c r="F169" s="174">
        <v>2</v>
      </c>
      <c r="G169" s="191">
        <v>129.36000000000001</v>
      </c>
      <c r="H169" s="191">
        <f t="shared" si="39"/>
        <v>166.81</v>
      </c>
      <c r="I169" s="191">
        <f t="shared" si="40"/>
        <v>333.62</v>
      </c>
    </row>
    <row r="170" spans="1:9" ht="50" x14ac:dyDescent="0.25">
      <c r="A170" s="171" t="s">
        <v>1279</v>
      </c>
      <c r="B170" s="171" t="s">
        <v>1328</v>
      </c>
      <c r="C170" s="171" t="s">
        <v>798</v>
      </c>
      <c r="D170" s="172" t="s">
        <v>1342</v>
      </c>
      <c r="E170" s="171" t="s">
        <v>323</v>
      </c>
      <c r="F170" s="174">
        <v>1</v>
      </c>
      <c r="G170" s="191">
        <v>952.69</v>
      </c>
      <c r="H170" s="191">
        <f t="shared" si="39"/>
        <v>1228.49</v>
      </c>
      <c r="I170" s="191">
        <f t="shared" si="40"/>
        <v>1228.49</v>
      </c>
    </row>
    <row r="171" spans="1:9" ht="50" x14ac:dyDescent="0.25">
      <c r="A171" s="171" t="s">
        <v>1280</v>
      </c>
      <c r="B171" s="171" t="s">
        <v>1329</v>
      </c>
      <c r="C171" s="171" t="s">
        <v>798</v>
      </c>
      <c r="D171" s="172" t="s">
        <v>1341</v>
      </c>
      <c r="E171" s="171" t="s">
        <v>323</v>
      </c>
      <c r="F171" s="174">
        <v>1</v>
      </c>
      <c r="G171" s="191">
        <v>178.24</v>
      </c>
      <c r="H171" s="191">
        <f t="shared" si="39"/>
        <v>229.84</v>
      </c>
      <c r="I171" s="191">
        <f t="shared" si="40"/>
        <v>229.84</v>
      </c>
    </row>
    <row r="172" spans="1:9" ht="37.5" x14ac:dyDescent="0.25">
      <c r="A172" s="171" t="s">
        <v>1281</v>
      </c>
      <c r="B172" s="171" t="s">
        <v>1330</v>
      </c>
      <c r="C172" s="171" t="s">
        <v>798</v>
      </c>
      <c r="D172" s="172" t="s">
        <v>1343</v>
      </c>
      <c r="E172" s="171" t="s">
        <v>323</v>
      </c>
      <c r="F172" s="174">
        <v>2</v>
      </c>
      <c r="G172" s="191">
        <v>310.13</v>
      </c>
      <c r="H172" s="191">
        <f t="shared" si="39"/>
        <v>399.91</v>
      </c>
      <c r="I172" s="191">
        <f t="shared" si="40"/>
        <v>799.82</v>
      </c>
    </row>
    <row r="173" spans="1:9" ht="37.5" x14ac:dyDescent="0.25">
      <c r="A173" s="171" t="s">
        <v>1282</v>
      </c>
      <c r="B173" s="171" t="s">
        <v>1332</v>
      </c>
      <c r="C173" s="171" t="s">
        <v>798</v>
      </c>
      <c r="D173" s="172" t="s">
        <v>1331</v>
      </c>
      <c r="E173" s="171" t="s">
        <v>323</v>
      </c>
      <c r="F173" s="174">
        <v>1</v>
      </c>
      <c r="G173" s="191">
        <v>67</v>
      </c>
      <c r="H173" s="191">
        <f t="shared" si="39"/>
        <v>86.4</v>
      </c>
      <c r="I173" s="191">
        <f t="shared" si="40"/>
        <v>86.4</v>
      </c>
    </row>
    <row r="174" spans="1:9" ht="25" x14ac:dyDescent="0.25">
      <c r="A174" s="171" t="s">
        <v>1283</v>
      </c>
      <c r="B174" s="172" t="s">
        <v>1333</v>
      </c>
      <c r="C174" s="171" t="s">
        <v>798</v>
      </c>
      <c r="D174" s="172" t="s">
        <v>1344</v>
      </c>
      <c r="E174" s="171" t="s">
        <v>323</v>
      </c>
      <c r="F174" s="186">
        <v>8</v>
      </c>
      <c r="G174" s="191">
        <v>14.36</v>
      </c>
      <c r="H174" s="191">
        <f t="shared" ref="H174:H182" si="41">ROUND((G174*(1+$I$5)),2)</f>
        <v>18.52</v>
      </c>
      <c r="I174" s="191">
        <f t="shared" si="40"/>
        <v>148.16</v>
      </c>
    </row>
    <row r="175" spans="1:9" ht="25" x14ac:dyDescent="0.25">
      <c r="A175" s="171" t="s">
        <v>1284</v>
      </c>
      <c r="B175" s="172" t="s">
        <v>1334</v>
      </c>
      <c r="C175" s="171" t="s">
        <v>798</v>
      </c>
      <c r="D175" s="172" t="s">
        <v>1345</v>
      </c>
      <c r="E175" s="171" t="s">
        <v>323</v>
      </c>
      <c r="F175" s="174">
        <v>10</v>
      </c>
      <c r="G175" s="191">
        <v>14.38</v>
      </c>
      <c r="H175" s="191">
        <f t="shared" si="41"/>
        <v>18.54</v>
      </c>
      <c r="I175" s="191">
        <f t="shared" si="40"/>
        <v>185.4</v>
      </c>
    </row>
    <row r="176" spans="1:9" ht="25" x14ac:dyDescent="0.25">
      <c r="A176" s="171" t="s">
        <v>1285</v>
      </c>
      <c r="B176" s="172" t="s">
        <v>1335</v>
      </c>
      <c r="C176" s="171" t="s">
        <v>798</v>
      </c>
      <c r="D176" s="172" t="s">
        <v>1346</v>
      </c>
      <c r="E176" s="171" t="s">
        <v>323</v>
      </c>
      <c r="F176" s="174">
        <v>6</v>
      </c>
      <c r="G176" s="191">
        <v>14.29</v>
      </c>
      <c r="H176" s="191">
        <f t="shared" si="41"/>
        <v>18.43</v>
      </c>
      <c r="I176" s="191">
        <f t="shared" si="40"/>
        <v>110.58</v>
      </c>
    </row>
    <row r="177" spans="1:9" ht="25" x14ac:dyDescent="0.25">
      <c r="A177" s="171" t="s">
        <v>1286</v>
      </c>
      <c r="B177" s="172" t="s">
        <v>1336</v>
      </c>
      <c r="C177" s="171" t="s">
        <v>798</v>
      </c>
      <c r="D177" s="172" t="s">
        <v>1347</v>
      </c>
      <c r="E177" s="171" t="s">
        <v>323</v>
      </c>
      <c r="F177" s="174">
        <v>1</v>
      </c>
      <c r="G177" s="191">
        <v>14.49</v>
      </c>
      <c r="H177" s="191">
        <f t="shared" si="41"/>
        <v>18.68</v>
      </c>
      <c r="I177" s="191">
        <f t="shared" si="40"/>
        <v>18.68</v>
      </c>
    </row>
    <row r="178" spans="1:9" ht="25" x14ac:dyDescent="0.25">
      <c r="A178" s="171" t="s">
        <v>1287</v>
      </c>
      <c r="B178" s="172" t="s">
        <v>1337</v>
      </c>
      <c r="C178" s="171" t="s">
        <v>798</v>
      </c>
      <c r="D178" s="172" t="s">
        <v>1348</v>
      </c>
      <c r="E178" s="171" t="s">
        <v>323</v>
      </c>
      <c r="F178" s="174">
        <v>1</v>
      </c>
      <c r="G178" s="191">
        <v>14.53</v>
      </c>
      <c r="H178" s="191">
        <f t="shared" si="41"/>
        <v>18.739999999999998</v>
      </c>
      <c r="I178" s="191">
        <f t="shared" si="40"/>
        <v>18.739999999999998</v>
      </c>
    </row>
    <row r="179" spans="1:9" ht="25" x14ac:dyDescent="0.25">
      <c r="A179" s="171" t="s">
        <v>1288</v>
      </c>
      <c r="B179" s="172" t="s">
        <v>1338</v>
      </c>
      <c r="C179" s="171" t="s">
        <v>798</v>
      </c>
      <c r="D179" s="172" t="s">
        <v>1349</v>
      </c>
      <c r="E179" s="171" t="s">
        <v>323</v>
      </c>
      <c r="F179" s="174">
        <v>1</v>
      </c>
      <c r="G179" s="191">
        <v>40.299999999999997</v>
      </c>
      <c r="H179" s="191">
        <f t="shared" si="41"/>
        <v>51.97</v>
      </c>
      <c r="I179" s="191">
        <f t="shared" si="40"/>
        <v>51.97</v>
      </c>
    </row>
    <row r="180" spans="1:9" ht="25" x14ac:dyDescent="0.25">
      <c r="A180" s="171" t="s">
        <v>1289</v>
      </c>
      <c r="B180" s="172" t="s">
        <v>1339</v>
      </c>
      <c r="C180" s="171" t="s">
        <v>798</v>
      </c>
      <c r="D180" s="172" t="s">
        <v>1350</v>
      </c>
      <c r="E180" s="171" t="s">
        <v>323</v>
      </c>
      <c r="F180" s="174">
        <v>3</v>
      </c>
      <c r="G180" s="191">
        <v>42.41</v>
      </c>
      <c r="H180" s="191">
        <f t="shared" si="41"/>
        <v>54.69</v>
      </c>
      <c r="I180" s="191">
        <f t="shared" si="40"/>
        <v>164.07</v>
      </c>
    </row>
    <row r="181" spans="1:9" ht="25" x14ac:dyDescent="0.25">
      <c r="A181" s="171" t="s">
        <v>1290</v>
      </c>
      <c r="B181" s="172" t="s">
        <v>1340</v>
      </c>
      <c r="C181" s="171" t="s">
        <v>798</v>
      </c>
      <c r="D181" s="172" t="s">
        <v>1351</v>
      </c>
      <c r="E181" s="171" t="s">
        <v>323</v>
      </c>
      <c r="F181" s="174">
        <v>1</v>
      </c>
      <c r="G181" s="191">
        <v>51.43</v>
      </c>
      <c r="H181" s="191">
        <f t="shared" si="41"/>
        <v>66.319999999999993</v>
      </c>
      <c r="I181" s="191">
        <f t="shared" si="40"/>
        <v>66.319999999999993</v>
      </c>
    </row>
    <row r="182" spans="1:9" ht="37.5" x14ac:dyDescent="0.25">
      <c r="A182" s="171" t="s">
        <v>1291</v>
      </c>
      <c r="B182" s="172" t="s">
        <v>1352</v>
      </c>
      <c r="C182" s="171" t="s">
        <v>798</v>
      </c>
      <c r="D182" s="172" t="s">
        <v>1353</v>
      </c>
      <c r="E182" s="171" t="s">
        <v>335</v>
      </c>
      <c r="F182" s="174">
        <v>620</v>
      </c>
      <c r="G182" s="191">
        <v>3.16</v>
      </c>
      <c r="H182" s="191">
        <f t="shared" si="41"/>
        <v>4.07</v>
      </c>
      <c r="I182" s="191">
        <f t="shared" si="40"/>
        <v>2523.4</v>
      </c>
    </row>
    <row r="183" spans="1:9" ht="37.5" x14ac:dyDescent="0.25">
      <c r="A183" s="171" t="s">
        <v>1292</v>
      </c>
      <c r="B183" s="171" t="s">
        <v>692</v>
      </c>
      <c r="C183" s="171" t="s">
        <v>798</v>
      </c>
      <c r="D183" s="172" t="s">
        <v>907</v>
      </c>
      <c r="E183" s="171" t="s">
        <v>335</v>
      </c>
      <c r="F183" s="174">
        <v>1300</v>
      </c>
      <c r="G183" s="191">
        <v>3.74</v>
      </c>
      <c r="H183" s="191">
        <f t="shared" ref="H183:H198" si="42">ROUND((G183*(1+$I$5)),2)</f>
        <v>4.82</v>
      </c>
      <c r="I183" s="191">
        <f t="shared" si="40"/>
        <v>6266</v>
      </c>
    </row>
    <row r="184" spans="1:9" ht="37.5" x14ac:dyDescent="0.25">
      <c r="A184" s="171" t="s">
        <v>1293</v>
      </c>
      <c r="B184" s="171" t="s">
        <v>693</v>
      </c>
      <c r="C184" s="171" t="s">
        <v>798</v>
      </c>
      <c r="D184" s="172" t="s">
        <v>908</v>
      </c>
      <c r="E184" s="171" t="s">
        <v>335</v>
      </c>
      <c r="F184" s="174">
        <v>280</v>
      </c>
      <c r="G184" s="191">
        <v>5.51</v>
      </c>
      <c r="H184" s="191">
        <f t="shared" si="42"/>
        <v>7.11</v>
      </c>
      <c r="I184" s="191">
        <f t="shared" si="40"/>
        <v>1990.8</v>
      </c>
    </row>
    <row r="185" spans="1:9" ht="37.5" x14ac:dyDescent="0.25">
      <c r="A185" s="171" t="s">
        <v>1294</v>
      </c>
      <c r="B185" s="171" t="s">
        <v>694</v>
      </c>
      <c r="C185" s="171" t="s">
        <v>798</v>
      </c>
      <c r="D185" s="172" t="s">
        <v>909</v>
      </c>
      <c r="E185" s="171" t="s">
        <v>335</v>
      </c>
      <c r="F185" s="174">
        <v>1800</v>
      </c>
      <c r="G185" s="191">
        <v>7.49</v>
      </c>
      <c r="H185" s="191">
        <f t="shared" si="42"/>
        <v>9.66</v>
      </c>
      <c r="I185" s="191">
        <f t="shared" si="40"/>
        <v>17388</v>
      </c>
    </row>
    <row r="186" spans="1:9" ht="37.5" x14ac:dyDescent="0.25">
      <c r="A186" s="171" t="s">
        <v>1354</v>
      </c>
      <c r="B186" s="171" t="s">
        <v>695</v>
      </c>
      <c r="C186" s="171" t="s">
        <v>798</v>
      </c>
      <c r="D186" s="172" t="s">
        <v>910</v>
      </c>
      <c r="E186" s="171" t="s">
        <v>335</v>
      </c>
      <c r="F186" s="174">
        <v>600</v>
      </c>
      <c r="G186" s="191">
        <v>13.11</v>
      </c>
      <c r="H186" s="191">
        <f t="shared" si="42"/>
        <v>16.91</v>
      </c>
      <c r="I186" s="191">
        <f t="shared" si="40"/>
        <v>10146</v>
      </c>
    </row>
    <row r="187" spans="1:9" ht="37.5" x14ac:dyDescent="0.25">
      <c r="A187" s="171" t="s">
        <v>1355</v>
      </c>
      <c r="B187" s="171" t="s">
        <v>1367</v>
      </c>
      <c r="C187" s="171" t="s">
        <v>798</v>
      </c>
      <c r="D187" s="172" t="s">
        <v>1369</v>
      </c>
      <c r="E187" s="171" t="s">
        <v>335</v>
      </c>
      <c r="F187" s="174">
        <v>34.479999999999997</v>
      </c>
      <c r="G187" s="191">
        <v>18.239999999999998</v>
      </c>
      <c r="H187" s="191">
        <f t="shared" si="42"/>
        <v>23.52</v>
      </c>
      <c r="I187" s="191">
        <f t="shared" si="40"/>
        <v>810.97</v>
      </c>
    </row>
    <row r="188" spans="1:9" ht="37.5" x14ac:dyDescent="0.25">
      <c r="A188" s="171" t="s">
        <v>1356</v>
      </c>
      <c r="B188" s="171" t="s">
        <v>1368</v>
      </c>
      <c r="C188" s="171" t="s">
        <v>798</v>
      </c>
      <c r="D188" s="172" t="s">
        <v>1370</v>
      </c>
      <c r="E188" s="171" t="s">
        <v>335</v>
      </c>
      <c r="F188" s="174">
        <f>47.69*3</f>
        <v>143.07</v>
      </c>
      <c r="G188" s="191">
        <v>70.61</v>
      </c>
      <c r="H188" s="191">
        <f t="shared" si="42"/>
        <v>91.05</v>
      </c>
      <c r="I188" s="191">
        <f t="shared" si="40"/>
        <v>13026.52</v>
      </c>
    </row>
    <row r="189" spans="1:9" ht="25" x14ac:dyDescent="0.25">
      <c r="A189" s="171" t="s">
        <v>1357</v>
      </c>
      <c r="B189" s="171" t="s">
        <v>696</v>
      </c>
      <c r="C189" s="171" t="s">
        <v>798</v>
      </c>
      <c r="D189" s="172" t="s">
        <v>911</v>
      </c>
      <c r="E189" s="171" t="s">
        <v>335</v>
      </c>
      <c r="F189" s="174">
        <v>40</v>
      </c>
      <c r="G189" s="191">
        <v>4.5199999999999996</v>
      </c>
      <c r="H189" s="191">
        <f t="shared" si="42"/>
        <v>5.83</v>
      </c>
      <c r="I189" s="191">
        <f t="shared" si="40"/>
        <v>233.2</v>
      </c>
    </row>
    <row r="190" spans="1:9" ht="25" x14ac:dyDescent="0.25">
      <c r="A190" s="171" t="s">
        <v>1358</v>
      </c>
      <c r="B190" s="171" t="s">
        <v>697</v>
      </c>
      <c r="C190" s="171" t="s">
        <v>798</v>
      </c>
      <c r="D190" s="172" t="s">
        <v>912</v>
      </c>
      <c r="E190" s="171" t="s">
        <v>335</v>
      </c>
      <c r="F190" s="174">
        <v>20</v>
      </c>
      <c r="G190" s="191">
        <v>6.49</v>
      </c>
      <c r="H190" s="191">
        <f t="shared" si="42"/>
        <v>8.3699999999999992</v>
      </c>
      <c r="I190" s="191">
        <f t="shared" si="40"/>
        <v>167.4</v>
      </c>
    </row>
    <row r="191" spans="1:9" ht="112.5" x14ac:dyDescent="0.25">
      <c r="A191" s="171" t="s">
        <v>1359</v>
      </c>
      <c r="B191" s="171" t="s">
        <v>698</v>
      </c>
      <c r="C191" s="171" t="s">
        <v>798</v>
      </c>
      <c r="D191" s="172" t="s">
        <v>913</v>
      </c>
      <c r="E191" s="171" t="s">
        <v>323</v>
      </c>
      <c r="F191" s="174">
        <v>55</v>
      </c>
      <c r="G191" s="191">
        <v>222.07</v>
      </c>
      <c r="H191" s="191">
        <f t="shared" si="42"/>
        <v>286.36</v>
      </c>
      <c r="I191" s="191">
        <f t="shared" si="40"/>
        <v>15749.8</v>
      </c>
    </row>
    <row r="192" spans="1:9" ht="112.5" x14ac:dyDescent="0.25">
      <c r="A192" s="171" t="s">
        <v>1360</v>
      </c>
      <c r="B192" s="171" t="s">
        <v>699</v>
      </c>
      <c r="C192" s="171" t="s">
        <v>798</v>
      </c>
      <c r="D192" s="172" t="s">
        <v>914</v>
      </c>
      <c r="E192" s="171" t="s">
        <v>323</v>
      </c>
      <c r="F192" s="174">
        <v>80</v>
      </c>
      <c r="G192" s="191">
        <v>133.56</v>
      </c>
      <c r="H192" s="191">
        <f t="shared" si="42"/>
        <v>172.23</v>
      </c>
      <c r="I192" s="191">
        <f t="shared" si="40"/>
        <v>13778.4</v>
      </c>
    </row>
    <row r="193" spans="1:9" ht="137.5" x14ac:dyDescent="0.25">
      <c r="A193" s="171" t="s">
        <v>1361</v>
      </c>
      <c r="B193" s="171" t="s">
        <v>700</v>
      </c>
      <c r="C193" s="171" t="s">
        <v>798</v>
      </c>
      <c r="D193" s="172" t="s">
        <v>915</v>
      </c>
      <c r="E193" s="171" t="s">
        <v>323</v>
      </c>
      <c r="F193" s="174">
        <v>45</v>
      </c>
      <c r="G193" s="191">
        <v>252.88</v>
      </c>
      <c r="H193" s="191">
        <f t="shared" si="42"/>
        <v>326.08999999999997</v>
      </c>
      <c r="I193" s="191">
        <f t="shared" si="40"/>
        <v>14674.05</v>
      </c>
    </row>
    <row r="194" spans="1:9" ht="62.5" x14ac:dyDescent="0.25">
      <c r="A194" s="171" t="s">
        <v>1362</v>
      </c>
      <c r="B194" s="171" t="s">
        <v>701</v>
      </c>
      <c r="C194" s="171" t="s">
        <v>798</v>
      </c>
      <c r="D194" s="172" t="s">
        <v>916</v>
      </c>
      <c r="E194" s="171" t="s">
        <v>323</v>
      </c>
      <c r="F194" s="174">
        <v>30</v>
      </c>
      <c r="G194" s="191">
        <v>222.18</v>
      </c>
      <c r="H194" s="191">
        <f t="shared" si="42"/>
        <v>286.5</v>
      </c>
      <c r="I194" s="191">
        <f t="shared" si="40"/>
        <v>8595</v>
      </c>
    </row>
    <row r="195" spans="1:9" ht="37.5" x14ac:dyDescent="0.25">
      <c r="A195" s="171" t="s">
        <v>1363</v>
      </c>
      <c r="B195" s="171" t="s">
        <v>702</v>
      </c>
      <c r="C195" s="171" t="s">
        <v>798</v>
      </c>
      <c r="D195" s="172" t="s">
        <v>917</v>
      </c>
      <c r="E195" s="171" t="s">
        <v>323</v>
      </c>
      <c r="F195" s="174">
        <v>10</v>
      </c>
      <c r="G195" s="191">
        <v>77.84</v>
      </c>
      <c r="H195" s="191">
        <f t="shared" si="42"/>
        <v>100.37</v>
      </c>
      <c r="I195" s="191">
        <f t="shared" si="40"/>
        <v>1003.7</v>
      </c>
    </row>
    <row r="196" spans="1:9" ht="50" x14ac:dyDescent="0.25">
      <c r="A196" s="171" t="s">
        <v>1364</v>
      </c>
      <c r="B196" s="171" t="s">
        <v>703</v>
      </c>
      <c r="C196" s="171" t="s">
        <v>798</v>
      </c>
      <c r="D196" s="172" t="s">
        <v>918</v>
      </c>
      <c r="E196" s="171" t="s">
        <v>323</v>
      </c>
      <c r="F196" s="174">
        <v>30</v>
      </c>
      <c r="G196" s="191">
        <v>161.84</v>
      </c>
      <c r="H196" s="191">
        <f t="shared" si="42"/>
        <v>208.69</v>
      </c>
      <c r="I196" s="191">
        <f t="shared" si="40"/>
        <v>6260.7</v>
      </c>
    </row>
    <row r="197" spans="1:9" ht="37.5" x14ac:dyDescent="0.25">
      <c r="A197" s="171" t="s">
        <v>1365</v>
      </c>
      <c r="B197" s="171" t="s">
        <v>704</v>
      </c>
      <c r="C197" s="171" t="s">
        <v>798</v>
      </c>
      <c r="D197" s="172" t="s">
        <v>919</v>
      </c>
      <c r="E197" s="171" t="s">
        <v>323</v>
      </c>
      <c r="F197" s="174">
        <v>10</v>
      </c>
      <c r="G197" s="191">
        <v>75.56</v>
      </c>
      <c r="H197" s="191">
        <f t="shared" si="42"/>
        <v>97.43</v>
      </c>
      <c r="I197" s="191">
        <f t="shared" si="40"/>
        <v>974.3</v>
      </c>
    </row>
    <row r="198" spans="1:9" ht="25" x14ac:dyDescent="0.25">
      <c r="A198" s="171" t="s">
        <v>1366</v>
      </c>
      <c r="B198" s="171" t="s">
        <v>705</v>
      </c>
      <c r="C198" s="171" t="s">
        <v>798</v>
      </c>
      <c r="D198" s="172" t="s">
        <v>920</v>
      </c>
      <c r="E198" s="171" t="s">
        <v>323</v>
      </c>
      <c r="F198" s="174">
        <v>15</v>
      </c>
      <c r="G198" s="191">
        <v>25.5</v>
      </c>
      <c r="H198" s="191">
        <f t="shared" si="42"/>
        <v>32.880000000000003</v>
      </c>
      <c r="I198" s="191">
        <f t="shared" si="40"/>
        <v>493.2</v>
      </c>
    </row>
    <row r="199" spans="1:9" ht="13" x14ac:dyDescent="0.3">
      <c r="A199" s="184" t="s">
        <v>417</v>
      </c>
      <c r="B199" s="171"/>
      <c r="C199" s="171"/>
      <c r="D199" s="185" t="s">
        <v>369</v>
      </c>
      <c r="E199" s="171"/>
      <c r="F199" s="174"/>
      <c r="G199" s="191"/>
      <c r="H199" s="191"/>
      <c r="I199" s="191"/>
    </row>
    <row r="200" spans="1:9" ht="25" x14ac:dyDescent="0.25">
      <c r="A200" s="171" t="s">
        <v>1299</v>
      </c>
      <c r="B200" s="171" t="s">
        <v>696</v>
      </c>
      <c r="C200" s="171" t="s">
        <v>798</v>
      </c>
      <c r="D200" s="172" t="s">
        <v>911</v>
      </c>
      <c r="E200" s="171" t="s">
        <v>335</v>
      </c>
      <c r="F200" s="174">
        <v>103</v>
      </c>
      <c r="G200" s="191">
        <v>4.5199999999999996</v>
      </c>
      <c r="H200" s="191">
        <f t="shared" ref="H200:H207" si="43">ROUND((G200*(1+$I$5)),2)</f>
        <v>5.83</v>
      </c>
      <c r="I200" s="191">
        <f t="shared" ref="I200:I207" si="44">ROUND((H200*F200),2)</f>
        <v>600.49</v>
      </c>
    </row>
    <row r="201" spans="1:9" ht="50" x14ac:dyDescent="0.25">
      <c r="A201" s="171" t="s">
        <v>1300</v>
      </c>
      <c r="B201" s="171" t="s">
        <v>1376</v>
      </c>
      <c r="C201" s="171" t="s">
        <v>798</v>
      </c>
      <c r="D201" s="172" t="s">
        <v>1377</v>
      </c>
      <c r="E201" s="171" t="s">
        <v>335</v>
      </c>
      <c r="F201" s="174">
        <v>216</v>
      </c>
      <c r="G201" s="191">
        <v>6.17</v>
      </c>
      <c r="H201" s="191">
        <f t="shared" si="43"/>
        <v>7.96</v>
      </c>
      <c r="I201" s="191">
        <f t="shared" si="44"/>
        <v>1719.36</v>
      </c>
    </row>
    <row r="202" spans="1:9" ht="37.5" x14ac:dyDescent="0.25">
      <c r="A202" s="171" t="s">
        <v>1301</v>
      </c>
      <c r="B202" s="171" t="s">
        <v>1379</v>
      </c>
      <c r="C202" s="171" t="s">
        <v>1381</v>
      </c>
      <c r="D202" s="172" t="s">
        <v>1380</v>
      </c>
      <c r="E202" s="171" t="s">
        <v>335</v>
      </c>
      <c r="F202" s="174">
        <v>2270</v>
      </c>
      <c r="G202" s="194">
        <f>CPU!H52</f>
        <v>4.9222129219999999</v>
      </c>
      <c r="H202" s="191">
        <f t="shared" si="43"/>
        <v>6.35</v>
      </c>
      <c r="I202" s="191">
        <f t="shared" si="44"/>
        <v>14414.5</v>
      </c>
    </row>
    <row r="203" spans="1:9" ht="37.5" x14ac:dyDescent="0.25">
      <c r="A203" s="171" t="s">
        <v>1302</v>
      </c>
      <c r="B203" s="171" t="s">
        <v>708</v>
      </c>
      <c r="C203" s="171" t="s">
        <v>798</v>
      </c>
      <c r="D203" s="172" t="s">
        <v>922</v>
      </c>
      <c r="E203" s="171" t="s">
        <v>323</v>
      </c>
      <c r="F203" s="174">
        <v>20</v>
      </c>
      <c r="G203" s="191">
        <v>115.02</v>
      </c>
      <c r="H203" s="191">
        <f t="shared" si="43"/>
        <v>148.32</v>
      </c>
      <c r="I203" s="191">
        <f t="shared" si="44"/>
        <v>2966.4</v>
      </c>
    </row>
    <row r="204" spans="1:9" ht="37.5" x14ac:dyDescent="0.25">
      <c r="A204" s="171" t="s">
        <v>1303</v>
      </c>
      <c r="B204" s="171" t="s">
        <v>709</v>
      </c>
      <c r="C204" s="171" t="s">
        <v>798</v>
      </c>
      <c r="D204" s="172" t="s">
        <v>923</v>
      </c>
      <c r="E204" s="171" t="s">
        <v>323</v>
      </c>
      <c r="F204" s="174">
        <v>15</v>
      </c>
      <c r="G204" s="191">
        <v>32.700000000000003</v>
      </c>
      <c r="H204" s="191">
        <f t="shared" si="43"/>
        <v>42.17</v>
      </c>
      <c r="I204" s="191">
        <f t="shared" si="44"/>
        <v>632.54999999999995</v>
      </c>
    </row>
    <row r="205" spans="1:9" ht="37.5" x14ac:dyDescent="0.25">
      <c r="A205" s="171" t="s">
        <v>1304</v>
      </c>
      <c r="B205" s="171" t="s">
        <v>710</v>
      </c>
      <c r="C205" s="171" t="s">
        <v>798</v>
      </c>
      <c r="D205" s="172" t="s">
        <v>924</v>
      </c>
      <c r="E205" s="171" t="s">
        <v>323</v>
      </c>
      <c r="F205" s="174">
        <v>5</v>
      </c>
      <c r="G205" s="191">
        <v>57.42</v>
      </c>
      <c r="H205" s="191">
        <f t="shared" si="43"/>
        <v>74.040000000000006</v>
      </c>
      <c r="I205" s="191">
        <f t="shared" si="44"/>
        <v>370.2</v>
      </c>
    </row>
    <row r="206" spans="1:9" ht="25" x14ac:dyDescent="0.25">
      <c r="A206" s="171" t="s">
        <v>1305</v>
      </c>
      <c r="B206" s="171" t="s">
        <v>711</v>
      </c>
      <c r="C206" s="171" t="s">
        <v>798</v>
      </c>
      <c r="D206" s="172" t="s">
        <v>925</v>
      </c>
      <c r="E206" s="171" t="s">
        <v>323</v>
      </c>
      <c r="F206" s="174">
        <v>20</v>
      </c>
      <c r="G206" s="191">
        <v>15.72</v>
      </c>
      <c r="H206" s="191">
        <f t="shared" si="43"/>
        <v>20.27</v>
      </c>
      <c r="I206" s="191">
        <f t="shared" si="44"/>
        <v>405.4</v>
      </c>
    </row>
    <row r="207" spans="1:9" ht="37.5" x14ac:dyDescent="0.25">
      <c r="A207" s="171" t="s">
        <v>1306</v>
      </c>
      <c r="B207" s="171" t="s">
        <v>712</v>
      </c>
      <c r="C207" s="171" t="s">
        <v>798</v>
      </c>
      <c r="D207" s="172" t="s">
        <v>926</v>
      </c>
      <c r="E207" s="171" t="s">
        <v>335</v>
      </c>
      <c r="F207" s="174">
        <v>4</v>
      </c>
      <c r="G207" s="191">
        <v>6.39</v>
      </c>
      <c r="H207" s="191">
        <f t="shared" si="43"/>
        <v>8.24</v>
      </c>
      <c r="I207" s="191">
        <f t="shared" si="44"/>
        <v>32.96</v>
      </c>
    </row>
    <row r="208" spans="1:9" ht="13" x14ac:dyDescent="0.3">
      <c r="A208" s="184" t="s">
        <v>418</v>
      </c>
      <c r="B208" s="171"/>
      <c r="C208" s="171"/>
      <c r="D208" s="185" t="s">
        <v>370</v>
      </c>
      <c r="E208" s="171"/>
      <c r="F208" s="174"/>
      <c r="G208" s="191"/>
      <c r="H208" s="191"/>
      <c r="I208" s="191"/>
    </row>
    <row r="209" spans="1:9" ht="37.5" x14ac:dyDescent="0.25">
      <c r="A209" s="171" t="s">
        <v>1307</v>
      </c>
      <c r="B209" s="171" t="s">
        <v>713</v>
      </c>
      <c r="C209" s="171" t="s">
        <v>798</v>
      </c>
      <c r="D209" s="172" t="s">
        <v>927</v>
      </c>
      <c r="E209" s="171" t="s">
        <v>323</v>
      </c>
      <c r="F209" s="174">
        <v>10</v>
      </c>
      <c r="G209" s="191">
        <v>205.5</v>
      </c>
      <c r="H209" s="191">
        <f>ROUND((G209*(1+$I$5)),2)</f>
        <v>264.99</v>
      </c>
      <c r="I209" s="191">
        <f t="shared" ref="I209:I213" si="45">ROUND((H209*F209),2)</f>
        <v>2649.9</v>
      </c>
    </row>
    <row r="210" spans="1:9" ht="37.5" x14ac:dyDescent="0.25">
      <c r="A210" s="171" t="s">
        <v>1308</v>
      </c>
      <c r="B210" s="171" t="s">
        <v>714</v>
      </c>
      <c r="C210" s="171" t="s">
        <v>798</v>
      </c>
      <c r="D210" s="172" t="s">
        <v>928</v>
      </c>
      <c r="E210" s="171" t="s">
        <v>323</v>
      </c>
      <c r="F210" s="174">
        <v>10</v>
      </c>
      <c r="G210" s="191">
        <v>130.47</v>
      </c>
      <c r="H210" s="191">
        <f>ROUND((G210*(1+$I$5)),2)</f>
        <v>168.24</v>
      </c>
      <c r="I210" s="191">
        <f t="shared" si="45"/>
        <v>1682.4</v>
      </c>
    </row>
    <row r="211" spans="1:9" ht="37.5" x14ac:dyDescent="0.25">
      <c r="A211" s="171" t="s">
        <v>1309</v>
      </c>
      <c r="B211" s="171" t="s">
        <v>715</v>
      </c>
      <c r="C211" s="171" t="s">
        <v>798</v>
      </c>
      <c r="D211" s="172" t="s">
        <v>929</v>
      </c>
      <c r="E211" s="171" t="s">
        <v>323</v>
      </c>
      <c r="F211" s="186">
        <v>2</v>
      </c>
      <c r="G211" s="194">
        <v>207.1</v>
      </c>
      <c r="H211" s="194">
        <f>ROUND((G211*(1+$I$5)),2)</f>
        <v>267.06</v>
      </c>
      <c r="I211" s="194">
        <f t="shared" si="45"/>
        <v>534.12</v>
      </c>
    </row>
    <row r="212" spans="1:9" s="178" customFormat="1" x14ac:dyDescent="0.25">
      <c r="A212" s="171" t="s">
        <v>1310</v>
      </c>
      <c r="B212" s="176" t="s">
        <v>716</v>
      </c>
      <c r="C212" s="176" t="s">
        <v>798</v>
      </c>
      <c r="D212" s="177" t="s">
        <v>930</v>
      </c>
      <c r="E212" s="176" t="s">
        <v>323</v>
      </c>
      <c r="F212" s="173">
        <v>150</v>
      </c>
      <c r="G212" s="190">
        <v>20.86</v>
      </c>
      <c r="H212" s="190">
        <f>ROUND((G212*(1+$I$5)),2)</f>
        <v>26.9</v>
      </c>
      <c r="I212" s="190">
        <f t="shared" si="45"/>
        <v>4035</v>
      </c>
    </row>
    <row r="213" spans="1:9" ht="37.5" x14ac:dyDescent="0.25">
      <c r="A213" s="171" t="s">
        <v>1311</v>
      </c>
      <c r="B213" s="171" t="s">
        <v>717</v>
      </c>
      <c r="C213" s="171" t="s">
        <v>798</v>
      </c>
      <c r="D213" s="172" t="s">
        <v>931</v>
      </c>
      <c r="E213" s="171" t="s">
        <v>335</v>
      </c>
      <c r="F213" s="174">
        <v>200</v>
      </c>
      <c r="G213" s="191">
        <v>27.43</v>
      </c>
      <c r="H213" s="191">
        <f>ROUND((G213*(1+$I$5)),2)</f>
        <v>35.369999999999997</v>
      </c>
      <c r="I213" s="191">
        <f t="shared" si="45"/>
        <v>7074</v>
      </c>
    </row>
    <row r="214" spans="1:9" s="165" customFormat="1" ht="13" x14ac:dyDescent="0.3">
      <c r="A214" s="206" t="s">
        <v>419</v>
      </c>
      <c r="B214" s="206"/>
      <c r="C214" s="206"/>
      <c r="D214" s="204" t="s">
        <v>372</v>
      </c>
      <c r="E214" s="206"/>
      <c r="F214" s="207"/>
      <c r="G214" s="208"/>
      <c r="H214" s="212"/>
      <c r="I214" s="208"/>
    </row>
    <row r="215" spans="1:9" ht="13" x14ac:dyDescent="0.3">
      <c r="A215" s="184" t="s">
        <v>420</v>
      </c>
      <c r="B215" s="184"/>
      <c r="C215" s="184"/>
      <c r="D215" s="185" t="s">
        <v>302</v>
      </c>
      <c r="E215" s="171"/>
      <c r="F215" s="174"/>
      <c r="G215" s="192"/>
      <c r="H215" s="191"/>
      <c r="I215" s="192"/>
    </row>
    <row r="216" spans="1:9" ht="25" x14ac:dyDescent="0.25">
      <c r="A216" s="171" t="s">
        <v>1312</v>
      </c>
      <c r="B216" s="171" t="s">
        <v>598</v>
      </c>
      <c r="C216" s="171" t="s">
        <v>798</v>
      </c>
      <c r="D216" s="172" t="s">
        <v>815</v>
      </c>
      <c r="E216" s="171" t="s">
        <v>333</v>
      </c>
      <c r="F216" s="174">
        <f>Memória!E447+Memória!E455</f>
        <v>10.604999999999999</v>
      </c>
      <c r="G216" s="191">
        <v>63.2</v>
      </c>
      <c r="H216" s="191">
        <f t="shared" ref="H216:H221" si="46">ROUND((G216*(1+$I$5)),2)</f>
        <v>81.5</v>
      </c>
      <c r="I216" s="191">
        <f t="shared" ref="I216:I221" si="47">ROUND((H216*F216),2)</f>
        <v>864.31</v>
      </c>
    </row>
    <row r="217" spans="1:9" ht="25" x14ac:dyDescent="0.25">
      <c r="A217" s="171" t="s">
        <v>1313</v>
      </c>
      <c r="B217" s="171" t="s">
        <v>599</v>
      </c>
      <c r="C217" s="171" t="s">
        <v>798</v>
      </c>
      <c r="D217" s="172" t="s">
        <v>816</v>
      </c>
      <c r="E217" s="171" t="s">
        <v>333</v>
      </c>
      <c r="F217" s="174">
        <f>Memória!E444+Memória!F447+Memória!F455</f>
        <v>1.0460417544729577</v>
      </c>
      <c r="G217" s="191">
        <v>535.89</v>
      </c>
      <c r="H217" s="191">
        <f t="shared" si="46"/>
        <v>691.03</v>
      </c>
      <c r="I217" s="191">
        <f t="shared" si="47"/>
        <v>722.85</v>
      </c>
    </row>
    <row r="218" spans="1:9" ht="37.5" x14ac:dyDescent="0.25">
      <c r="A218" s="171" t="s">
        <v>1314</v>
      </c>
      <c r="B218" s="171" t="s">
        <v>600</v>
      </c>
      <c r="C218" s="171" t="s">
        <v>798</v>
      </c>
      <c r="D218" s="172" t="s">
        <v>817</v>
      </c>
      <c r="E218" s="171" t="s">
        <v>333</v>
      </c>
      <c r="F218" s="174">
        <f>Memória!F444+Memória!H447+Memória!H455</f>
        <v>8.2348371968101315</v>
      </c>
      <c r="G218" s="191">
        <v>693.73</v>
      </c>
      <c r="H218" s="191">
        <f t="shared" si="46"/>
        <v>894.56</v>
      </c>
      <c r="I218" s="191">
        <f t="shared" si="47"/>
        <v>7366.56</v>
      </c>
    </row>
    <row r="219" spans="1:9" ht="37.5" x14ac:dyDescent="0.25">
      <c r="A219" s="171" t="s">
        <v>1315</v>
      </c>
      <c r="B219" s="171" t="s">
        <v>601</v>
      </c>
      <c r="C219" s="171" t="s">
        <v>798</v>
      </c>
      <c r="D219" s="172" t="s">
        <v>818</v>
      </c>
      <c r="E219" s="171" t="s">
        <v>336</v>
      </c>
      <c r="F219" s="174">
        <f>Memória!G444+Memória!I447+Memória!I455</f>
        <v>658.78697574481055</v>
      </c>
      <c r="G219" s="191">
        <v>11.26</v>
      </c>
      <c r="H219" s="191">
        <f t="shared" si="46"/>
        <v>14.52</v>
      </c>
      <c r="I219" s="191">
        <f t="shared" si="47"/>
        <v>9565.59</v>
      </c>
    </row>
    <row r="220" spans="1:9" ht="37.5" x14ac:dyDescent="0.25">
      <c r="A220" s="171" t="s">
        <v>1316</v>
      </c>
      <c r="B220" s="171" t="s">
        <v>603</v>
      </c>
      <c r="C220" s="171" t="s">
        <v>798</v>
      </c>
      <c r="D220" s="172" t="s">
        <v>602</v>
      </c>
      <c r="E220" s="171" t="s">
        <v>331</v>
      </c>
      <c r="F220" s="174">
        <f>Memória!G447+Memória!G455</f>
        <v>43.56</v>
      </c>
      <c r="G220" s="191">
        <v>44.45</v>
      </c>
      <c r="H220" s="191">
        <f t="shared" si="46"/>
        <v>57.32</v>
      </c>
      <c r="I220" s="191">
        <f t="shared" si="47"/>
        <v>2496.86</v>
      </c>
    </row>
    <row r="221" spans="1:9" ht="25" x14ac:dyDescent="0.25">
      <c r="A221" s="171" t="s">
        <v>1317</v>
      </c>
      <c r="B221" s="171" t="s">
        <v>604</v>
      </c>
      <c r="C221" s="171" t="s">
        <v>798</v>
      </c>
      <c r="D221" s="172" t="s">
        <v>820</v>
      </c>
      <c r="E221" s="171" t="s">
        <v>333</v>
      </c>
      <c r="F221" s="174">
        <f>Memória!J447+Memória!J455</f>
        <v>4.6379999999999999</v>
      </c>
      <c r="G221" s="191">
        <v>45.71</v>
      </c>
      <c r="H221" s="191">
        <f t="shared" si="46"/>
        <v>58.94</v>
      </c>
      <c r="I221" s="191">
        <f t="shared" si="47"/>
        <v>273.36</v>
      </c>
    </row>
    <row r="222" spans="1:9" ht="13" x14ac:dyDescent="0.3">
      <c r="A222" s="184" t="s">
        <v>421</v>
      </c>
      <c r="B222" s="184"/>
      <c r="C222" s="184"/>
      <c r="D222" s="185" t="s">
        <v>340</v>
      </c>
      <c r="E222" s="171"/>
      <c r="F222" s="174"/>
      <c r="G222" s="192"/>
      <c r="H222" s="191"/>
      <c r="I222" s="192"/>
    </row>
    <row r="223" spans="1:9" ht="37.5" x14ac:dyDescent="0.25">
      <c r="A223" s="171" t="s">
        <v>422</v>
      </c>
      <c r="B223" s="171" t="s">
        <v>600</v>
      </c>
      <c r="C223" s="171" t="s">
        <v>798</v>
      </c>
      <c r="D223" s="172" t="s">
        <v>817</v>
      </c>
      <c r="E223" s="171" t="s">
        <v>333</v>
      </c>
      <c r="F223" s="174">
        <f>Memória!F459+Memória!F463</f>
        <v>4.2480000000000011</v>
      </c>
      <c r="G223" s="191">
        <v>693.73</v>
      </c>
      <c r="H223" s="191">
        <f>ROUND((G223*(1+$I$5)),2)</f>
        <v>894.56</v>
      </c>
      <c r="I223" s="191">
        <f t="shared" ref="I223:I225" si="48">ROUND((H223*F223),2)</f>
        <v>3800.09</v>
      </c>
    </row>
    <row r="224" spans="1:9" ht="37.5" x14ac:dyDescent="0.25">
      <c r="A224" s="171" t="s">
        <v>423</v>
      </c>
      <c r="B224" s="171" t="s">
        <v>601</v>
      </c>
      <c r="C224" s="171" t="s">
        <v>798</v>
      </c>
      <c r="D224" s="179" t="s">
        <v>818</v>
      </c>
      <c r="E224" s="180" t="s">
        <v>336</v>
      </c>
      <c r="F224" s="181">
        <f>+Memória!G459+Memória!G463</f>
        <v>339.84000000000003</v>
      </c>
      <c r="G224" s="191">
        <v>11.26</v>
      </c>
      <c r="H224" s="193">
        <f>ROUND((G224*(1+$I$5)),2)</f>
        <v>14.52</v>
      </c>
      <c r="I224" s="191">
        <f t="shared" si="48"/>
        <v>4934.4799999999996</v>
      </c>
    </row>
    <row r="225" spans="1:9" ht="25" x14ac:dyDescent="0.25">
      <c r="A225" s="171" t="s">
        <v>424</v>
      </c>
      <c r="B225" s="171" t="s">
        <v>606</v>
      </c>
      <c r="C225" s="171" t="s">
        <v>798</v>
      </c>
      <c r="D225" s="172" t="s">
        <v>822</v>
      </c>
      <c r="E225" s="171" t="s">
        <v>331</v>
      </c>
      <c r="F225" s="174">
        <f>+Memória!E459+Memória!E463</f>
        <v>72.960000000000008</v>
      </c>
      <c r="G225" s="191">
        <v>44.45</v>
      </c>
      <c r="H225" s="191">
        <f>ROUND((G225*(1+$I$5)),2)</f>
        <v>57.32</v>
      </c>
      <c r="I225" s="191">
        <f t="shared" si="48"/>
        <v>4182.07</v>
      </c>
    </row>
    <row r="226" spans="1:9" ht="13" x14ac:dyDescent="0.3">
      <c r="A226" s="184" t="s">
        <v>425</v>
      </c>
      <c r="B226" s="184"/>
      <c r="C226" s="184"/>
      <c r="D226" s="185" t="s">
        <v>348</v>
      </c>
      <c r="E226" s="171"/>
      <c r="F226" s="174"/>
      <c r="G226" s="192"/>
      <c r="H226" s="191"/>
      <c r="I226" s="192"/>
    </row>
    <row r="227" spans="1:9" ht="50" x14ac:dyDescent="0.25">
      <c r="A227" s="171" t="s">
        <v>426</v>
      </c>
      <c r="B227" s="171" t="s">
        <v>718</v>
      </c>
      <c r="C227" s="171" t="s">
        <v>798</v>
      </c>
      <c r="D227" s="172" t="s">
        <v>932</v>
      </c>
      <c r="E227" s="171" t="s">
        <v>331</v>
      </c>
      <c r="F227" s="174">
        <f>Memória!C468</f>
        <v>132</v>
      </c>
      <c r="G227" s="191">
        <v>71.709999999999994</v>
      </c>
      <c r="H227" s="191">
        <f>ROUND((G227*(1+$I$5)),2)</f>
        <v>92.47</v>
      </c>
      <c r="I227" s="191">
        <f t="shared" ref="I227:I230" si="49">ROUND((H227*F227),2)</f>
        <v>12206.04</v>
      </c>
    </row>
    <row r="228" spans="1:9" ht="62.5" x14ac:dyDescent="0.25">
      <c r="A228" s="171" t="s">
        <v>427</v>
      </c>
      <c r="B228" s="171" t="s">
        <v>615</v>
      </c>
      <c r="C228" s="171" t="s">
        <v>798</v>
      </c>
      <c r="D228" s="172" t="s">
        <v>831</v>
      </c>
      <c r="E228" s="171" t="s">
        <v>331</v>
      </c>
      <c r="F228" s="174">
        <f>Memória!B471</f>
        <v>264</v>
      </c>
      <c r="G228" s="191">
        <v>8.6999999999999993</v>
      </c>
      <c r="H228" s="191">
        <f>ROUND((G228*(1+$I$5)),2)</f>
        <v>11.22</v>
      </c>
      <c r="I228" s="191">
        <f t="shared" si="49"/>
        <v>2962.08</v>
      </c>
    </row>
    <row r="229" spans="1:9" ht="50" x14ac:dyDescent="0.25">
      <c r="A229" s="171" t="s">
        <v>428</v>
      </c>
      <c r="B229" s="171" t="s">
        <v>617</v>
      </c>
      <c r="C229" s="171" t="s">
        <v>798</v>
      </c>
      <c r="D229" s="172" t="s">
        <v>833</v>
      </c>
      <c r="E229" s="171" t="s">
        <v>331</v>
      </c>
      <c r="F229" s="174">
        <f>Memória!B472</f>
        <v>264</v>
      </c>
      <c r="G229" s="191">
        <v>31.01</v>
      </c>
      <c r="H229" s="191">
        <f>ROUND((G229*(1+$I$5)),2)</f>
        <v>39.99</v>
      </c>
      <c r="I229" s="191">
        <f t="shared" si="49"/>
        <v>10557.36</v>
      </c>
    </row>
    <row r="230" spans="1:9" ht="25" x14ac:dyDescent="0.25">
      <c r="A230" s="171" t="s">
        <v>429</v>
      </c>
      <c r="B230" s="171" t="s">
        <v>719</v>
      </c>
      <c r="C230" s="171" t="s">
        <v>798</v>
      </c>
      <c r="D230" s="172" t="s">
        <v>933</v>
      </c>
      <c r="E230" s="171" t="s">
        <v>331</v>
      </c>
      <c r="F230" s="174">
        <f>Memória!B473</f>
        <v>264</v>
      </c>
      <c r="G230" s="191">
        <v>29.53</v>
      </c>
      <c r="H230" s="191">
        <f>ROUND((G230*(1+$I$5)),2)</f>
        <v>38.08</v>
      </c>
      <c r="I230" s="191">
        <f t="shared" si="49"/>
        <v>10053.120000000001</v>
      </c>
    </row>
    <row r="231" spans="1:9" ht="13" x14ac:dyDescent="0.3">
      <c r="A231" s="184" t="s">
        <v>430</v>
      </c>
      <c r="B231" s="171"/>
      <c r="C231" s="171"/>
      <c r="D231" s="185" t="s">
        <v>373</v>
      </c>
      <c r="E231" s="171"/>
      <c r="F231" s="174"/>
      <c r="G231" s="191"/>
      <c r="H231" s="191"/>
      <c r="I231" s="191"/>
    </row>
    <row r="232" spans="1:9" s="178" customFormat="1" x14ac:dyDescent="0.25">
      <c r="A232" s="176" t="s">
        <v>1295</v>
      </c>
      <c r="B232" s="176" t="s">
        <v>720</v>
      </c>
      <c r="C232" s="176" t="s">
        <v>798</v>
      </c>
      <c r="D232" s="177" t="s">
        <v>934</v>
      </c>
      <c r="E232" s="176" t="s">
        <v>331</v>
      </c>
      <c r="F232" s="173">
        <f>Memória!C487</f>
        <v>144.64649999999997</v>
      </c>
      <c r="G232" s="190">
        <v>59.58</v>
      </c>
      <c r="H232" s="190">
        <f>ROUND((G232*(1+$I$5)),2)</f>
        <v>76.83</v>
      </c>
      <c r="I232" s="190">
        <f t="shared" ref="I232:I235" si="50">ROUND((H232*F232),2)</f>
        <v>11113.19</v>
      </c>
    </row>
    <row r="233" spans="1:9" ht="37.5" x14ac:dyDescent="0.25">
      <c r="A233" s="176" t="s">
        <v>1296</v>
      </c>
      <c r="B233" s="171" t="s">
        <v>721</v>
      </c>
      <c r="C233" s="171" t="s">
        <v>798</v>
      </c>
      <c r="D233" s="172" t="s">
        <v>935</v>
      </c>
      <c r="E233" s="171" t="s">
        <v>331</v>
      </c>
      <c r="F233" s="174">
        <f>Memória!C489</f>
        <v>125</v>
      </c>
      <c r="G233" s="191">
        <v>9.09</v>
      </c>
      <c r="H233" s="191">
        <f>ROUND((G233*(1+$I$5)),2)</f>
        <v>11.72</v>
      </c>
      <c r="I233" s="191">
        <f t="shared" si="50"/>
        <v>1465</v>
      </c>
    </row>
    <row r="234" spans="1:9" ht="75" x14ac:dyDescent="0.25">
      <c r="A234" s="176" t="s">
        <v>1297</v>
      </c>
      <c r="B234" s="171" t="s">
        <v>1318</v>
      </c>
      <c r="C234" s="171" t="s">
        <v>798</v>
      </c>
      <c r="D234" s="172" t="s">
        <v>1319</v>
      </c>
      <c r="E234" s="171" t="s">
        <v>331</v>
      </c>
      <c r="F234" s="174">
        <f>Memória!C490</f>
        <v>115</v>
      </c>
      <c r="G234" s="191">
        <v>108.37</v>
      </c>
      <c r="H234" s="191">
        <f>ROUND((G234*(1+$I$5)),2)</f>
        <v>139.74</v>
      </c>
      <c r="I234" s="191">
        <f t="shared" si="50"/>
        <v>16070.1</v>
      </c>
    </row>
    <row r="235" spans="1:9" ht="25" x14ac:dyDescent="0.25">
      <c r="A235" s="176" t="s">
        <v>1298</v>
      </c>
      <c r="B235" s="171" t="s">
        <v>722</v>
      </c>
      <c r="C235" s="171" t="s">
        <v>798</v>
      </c>
      <c r="D235" s="172" t="s">
        <v>936</v>
      </c>
      <c r="E235" s="171" t="s">
        <v>331</v>
      </c>
      <c r="F235" s="174">
        <f>Memória!C491</f>
        <v>10</v>
      </c>
      <c r="G235" s="191">
        <v>25.35</v>
      </c>
      <c r="H235" s="191">
        <f>ROUND((G235*(1+$I$5)),2)</f>
        <v>32.69</v>
      </c>
      <c r="I235" s="191">
        <f t="shared" si="50"/>
        <v>326.89999999999998</v>
      </c>
    </row>
    <row r="236" spans="1:9" ht="13" x14ac:dyDescent="0.3">
      <c r="A236" s="209" t="s">
        <v>431</v>
      </c>
      <c r="B236" s="209"/>
      <c r="C236" s="209"/>
      <c r="D236" s="169" t="s">
        <v>462</v>
      </c>
      <c r="E236" s="209"/>
      <c r="F236" s="210"/>
      <c r="G236" s="211"/>
      <c r="H236" s="213"/>
      <c r="I236" s="211">
        <f>SUM(I237:I369)</f>
        <v>666077.9499999996</v>
      </c>
    </row>
    <row r="237" spans="1:9" s="165" customFormat="1" ht="13" x14ac:dyDescent="0.3">
      <c r="A237" s="206" t="s">
        <v>432</v>
      </c>
      <c r="B237" s="206"/>
      <c r="C237" s="206"/>
      <c r="D237" s="204" t="s">
        <v>463</v>
      </c>
      <c r="E237" s="206"/>
      <c r="F237" s="207"/>
      <c r="G237" s="208"/>
      <c r="H237" s="212"/>
      <c r="I237" s="208"/>
    </row>
    <row r="238" spans="1:9" ht="50" x14ac:dyDescent="0.25">
      <c r="A238" s="171" t="s">
        <v>433</v>
      </c>
      <c r="B238" s="171" t="s">
        <v>723</v>
      </c>
      <c r="C238" s="171" t="s">
        <v>798</v>
      </c>
      <c r="D238" s="172" t="s">
        <v>937</v>
      </c>
      <c r="E238" s="171" t="s">
        <v>333</v>
      </c>
      <c r="F238" s="174">
        <f>Memória!D519</f>
        <v>180.51599999999996</v>
      </c>
      <c r="G238" s="191">
        <v>96.52</v>
      </c>
      <c r="H238" s="191">
        <f t="shared" ref="H238:H250" si="51">ROUND((G238*(1+$I$5)),2)</f>
        <v>124.46</v>
      </c>
      <c r="I238" s="191">
        <f t="shared" ref="I238:I250" si="52">ROUND((H238*F238),2)</f>
        <v>22467.02</v>
      </c>
    </row>
    <row r="239" spans="1:9" ht="37.5" x14ac:dyDescent="0.25">
      <c r="A239" s="171" t="s">
        <v>434</v>
      </c>
      <c r="B239" s="171" t="s">
        <v>724</v>
      </c>
      <c r="C239" s="171" t="s">
        <v>798</v>
      </c>
      <c r="D239" s="172" t="s">
        <v>938</v>
      </c>
      <c r="E239" s="171" t="s">
        <v>333</v>
      </c>
      <c r="F239" s="174">
        <f>Memória!B522</f>
        <v>18.051599999999997</v>
      </c>
      <c r="G239" s="191">
        <v>441.24</v>
      </c>
      <c r="H239" s="191">
        <f t="shared" si="51"/>
        <v>568.98</v>
      </c>
      <c r="I239" s="191">
        <f t="shared" si="52"/>
        <v>10271</v>
      </c>
    </row>
    <row r="240" spans="1:9" ht="50" x14ac:dyDescent="0.25">
      <c r="A240" s="171" t="s">
        <v>435</v>
      </c>
      <c r="B240" s="171" t="s">
        <v>725</v>
      </c>
      <c r="C240" s="171" t="s">
        <v>798</v>
      </c>
      <c r="D240" s="172" t="s">
        <v>939</v>
      </c>
      <c r="E240" s="171" t="s">
        <v>331</v>
      </c>
      <c r="F240" s="174">
        <f>Memória!B525</f>
        <v>290</v>
      </c>
      <c r="G240" s="191">
        <v>15.24</v>
      </c>
      <c r="H240" s="191">
        <f t="shared" si="51"/>
        <v>19.649999999999999</v>
      </c>
      <c r="I240" s="191">
        <f t="shared" si="52"/>
        <v>5698.5</v>
      </c>
    </row>
    <row r="241" spans="1:9" ht="50" x14ac:dyDescent="0.25">
      <c r="A241" s="171" t="s">
        <v>436</v>
      </c>
      <c r="B241" s="171" t="s">
        <v>726</v>
      </c>
      <c r="C241" s="171" t="s">
        <v>798</v>
      </c>
      <c r="D241" s="172" t="s">
        <v>940</v>
      </c>
      <c r="E241" s="171" t="s">
        <v>331</v>
      </c>
      <c r="F241" s="174">
        <f>Memória!B528</f>
        <v>100</v>
      </c>
      <c r="G241" s="191">
        <v>19.05</v>
      </c>
      <c r="H241" s="191">
        <f t="shared" si="51"/>
        <v>24.56</v>
      </c>
      <c r="I241" s="191">
        <f t="shared" si="52"/>
        <v>2456</v>
      </c>
    </row>
    <row r="242" spans="1:9" ht="50" x14ac:dyDescent="0.25">
      <c r="A242" s="171" t="s">
        <v>464</v>
      </c>
      <c r="B242" s="171" t="s">
        <v>727</v>
      </c>
      <c r="C242" s="171" t="s">
        <v>798</v>
      </c>
      <c r="D242" s="172" t="s">
        <v>941</v>
      </c>
      <c r="E242" s="171" t="s">
        <v>331</v>
      </c>
      <c r="F242" s="174">
        <f>Memória!B533</f>
        <v>40.75</v>
      </c>
      <c r="G242" s="191">
        <v>20.64</v>
      </c>
      <c r="H242" s="191">
        <f t="shared" si="51"/>
        <v>26.62</v>
      </c>
      <c r="I242" s="191">
        <f t="shared" si="52"/>
        <v>1084.77</v>
      </c>
    </row>
    <row r="243" spans="1:9" ht="50" x14ac:dyDescent="0.25">
      <c r="A243" s="171" t="s">
        <v>465</v>
      </c>
      <c r="B243" s="171" t="s">
        <v>728</v>
      </c>
      <c r="C243" s="171" t="s">
        <v>798</v>
      </c>
      <c r="D243" s="172" t="s">
        <v>942</v>
      </c>
      <c r="E243" s="171" t="s">
        <v>331</v>
      </c>
      <c r="F243" s="174">
        <f>F242</f>
        <v>40.75</v>
      </c>
      <c r="G243" s="191">
        <v>22.29</v>
      </c>
      <c r="H243" s="191">
        <f t="shared" si="51"/>
        <v>28.74</v>
      </c>
      <c r="I243" s="191">
        <f t="shared" si="52"/>
        <v>1171.1600000000001</v>
      </c>
    </row>
    <row r="244" spans="1:9" ht="62.5" x14ac:dyDescent="0.25">
      <c r="A244" s="171" t="s">
        <v>467</v>
      </c>
      <c r="B244" s="171" t="s">
        <v>729</v>
      </c>
      <c r="C244" s="171" t="s">
        <v>798</v>
      </c>
      <c r="D244" s="172" t="s">
        <v>943</v>
      </c>
      <c r="E244" s="171" t="s">
        <v>331</v>
      </c>
      <c r="F244" s="174">
        <f>Memória!E537</f>
        <v>51.45</v>
      </c>
      <c r="G244" s="191">
        <v>8.35</v>
      </c>
      <c r="H244" s="191">
        <f t="shared" si="51"/>
        <v>10.77</v>
      </c>
      <c r="I244" s="191">
        <f t="shared" si="52"/>
        <v>554.12</v>
      </c>
    </row>
    <row r="245" spans="1:9" ht="75" x14ac:dyDescent="0.25">
      <c r="A245" s="171" t="s">
        <v>468</v>
      </c>
      <c r="B245" s="171" t="s">
        <v>730</v>
      </c>
      <c r="C245" s="171" t="s">
        <v>798</v>
      </c>
      <c r="D245" s="172" t="s">
        <v>944</v>
      </c>
      <c r="E245" s="171" t="s">
        <v>331</v>
      </c>
      <c r="F245" s="174">
        <f>Memória!E541+Memória!E540+Memória!E539+Memória!E538</f>
        <v>18.852</v>
      </c>
      <c r="G245" s="191">
        <v>49.23</v>
      </c>
      <c r="H245" s="191">
        <f t="shared" si="51"/>
        <v>63.48</v>
      </c>
      <c r="I245" s="191">
        <f t="shared" si="52"/>
        <v>1196.72</v>
      </c>
    </row>
    <row r="246" spans="1:9" ht="75" x14ac:dyDescent="0.25">
      <c r="A246" s="171" t="s">
        <v>469</v>
      </c>
      <c r="B246" s="171" t="s">
        <v>731</v>
      </c>
      <c r="C246" s="171" t="s">
        <v>798</v>
      </c>
      <c r="D246" s="172" t="s">
        <v>945</v>
      </c>
      <c r="E246" s="171" t="s">
        <v>331</v>
      </c>
      <c r="F246" s="174">
        <f>Memória!E545+Memória!E546</f>
        <v>12.816000000000001</v>
      </c>
      <c r="G246" s="191">
        <v>41.07</v>
      </c>
      <c r="H246" s="191">
        <f t="shared" si="51"/>
        <v>52.96</v>
      </c>
      <c r="I246" s="191">
        <f t="shared" si="52"/>
        <v>678.74</v>
      </c>
    </row>
    <row r="247" spans="1:9" ht="50" x14ac:dyDescent="0.25">
      <c r="A247" s="171" t="s">
        <v>470</v>
      </c>
      <c r="B247" s="171" t="s">
        <v>732</v>
      </c>
      <c r="C247" s="171" t="s">
        <v>798</v>
      </c>
      <c r="D247" s="172" t="s">
        <v>946</v>
      </c>
      <c r="E247" s="171" t="s">
        <v>323</v>
      </c>
      <c r="F247" s="174">
        <f>Memória!D542+Memória!D543+Memória!D544</f>
        <v>12</v>
      </c>
      <c r="G247" s="191">
        <v>39.47</v>
      </c>
      <c r="H247" s="191">
        <f t="shared" si="51"/>
        <v>50.9</v>
      </c>
      <c r="I247" s="191">
        <f t="shared" si="52"/>
        <v>610.79999999999995</v>
      </c>
    </row>
    <row r="248" spans="1:9" ht="37.5" x14ac:dyDescent="0.25">
      <c r="A248" s="171" t="s">
        <v>471</v>
      </c>
      <c r="B248" s="171" t="s">
        <v>733</v>
      </c>
      <c r="C248" s="171" t="s">
        <v>798</v>
      </c>
      <c r="D248" s="172" t="s">
        <v>979</v>
      </c>
      <c r="E248" s="171" t="s">
        <v>333</v>
      </c>
      <c r="F248" s="174">
        <f>Memória!B528*0.15*1.5+Memória!B525*0.15*1.5+Memória!B522+Memória!D519*0.15*1.5</f>
        <v>146.41769999999997</v>
      </c>
      <c r="G248" s="191">
        <v>36.729999999999997</v>
      </c>
      <c r="H248" s="191">
        <f t="shared" si="51"/>
        <v>47.36</v>
      </c>
      <c r="I248" s="191">
        <f t="shared" si="52"/>
        <v>6934.34</v>
      </c>
    </row>
    <row r="249" spans="1:9" ht="25" x14ac:dyDescent="0.25">
      <c r="A249" s="171" t="s">
        <v>472</v>
      </c>
      <c r="B249" s="171" t="s">
        <v>734</v>
      </c>
      <c r="C249" s="171" t="s">
        <v>798</v>
      </c>
      <c r="D249" s="172" t="s">
        <v>978</v>
      </c>
      <c r="E249" s="171" t="s">
        <v>333</v>
      </c>
      <c r="F249" s="174">
        <f>F248</f>
        <v>146.41769999999997</v>
      </c>
      <c r="G249" s="191">
        <v>37.06</v>
      </c>
      <c r="H249" s="191">
        <f t="shared" si="51"/>
        <v>47.79</v>
      </c>
      <c r="I249" s="191">
        <f t="shared" si="52"/>
        <v>6997.3</v>
      </c>
    </row>
    <row r="250" spans="1:9" ht="50" x14ac:dyDescent="0.25">
      <c r="A250" s="171" t="s">
        <v>473</v>
      </c>
      <c r="B250" s="171" t="s">
        <v>596</v>
      </c>
      <c r="C250" s="171" t="s">
        <v>798</v>
      </c>
      <c r="D250" s="172" t="s">
        <v>813</v>
      </c>
      <c r="E250" s="171" t="s">
        <v>334</v>
      </c>
      <c r="F250" s="174">
        <f>F249*2</f>
        <v>292.83539999999994</v>
      </c>
      <c r="G250" s="191">
        <v>2.5</v>
      </c>
      <c r="H250" s="191">
        <f t="shared" si="51"/>
        <v>3.22</v>
      </c>
      <c r="I250" s="191">
        <f t="shared" si="52"/>
        <v>942.93</v>
      </c>
    </row>
    <row r="251" spans="1:9" s="165" customFormat="1" ht="13" x14ac:dyDescent="0.3">
      <c r="A251" s="206" t="s">
        <v>437</v>
      </c>
      <c r="B251" s="206"/>
      <c r="C251" s="206"/>
      <c r="D251" s="204" t="s">
        <v>302</v>
      </c>
      <c r="E251" s="206"/>
      <c r="F251" s="207"/>
      <c r="G251" s="208"/>
      <c r="H251" s="212"/>
      <c r="I251" s="208"/>
    </row>
    <row r="252" spans="1:9" ht="50" x14ac:dyDescent="0.25">
      <c r="A252" s="171" t="s">
        <v>438</v>
      </c>
      <c r="B252" s="171" t="s">
        <v>597</v>
      </c>
      <c r="C252" s="171" t="s">
        <v>798</v>
      </c>
      <c r="D252" s="172" t="s">
        <v>814</v>
      </c>
      <c r="E252" s="171" t="s">
        <v>335</v>
      </c>
      <c r="F252" s="174">
        <f>Memória!C570</f>
        <v>63.949999999999996</v>
      </c>
      <c r="G252" s="191">
        <v>42.53</v>
      </c>
      <c r="H252" s="191">
        <f t="shared" ref="H252:H259" si="53">ROUND((G252*(1+$I$5)),2)</f>
        <v>54.84</v>
      </c>
      <c r="I252" s="191">
        <f t="shared" ref="I252:I259" si="54">ROUND((H252*F252),2)</f>
        <v>3507.02</v>
      </c>
    </row>
    <row r="253" spans="1:9" ht="25" x14ac:dyDescent="0.25">
      <c r="A253" s="171" t="s">
        <v>439</v>
      </c>
      <c r="B253" s="171" t="s">
        <v>598</v>
      </c>
      <c r="C253" s="171" t="s">
        <v>798</v>
      </c>
      <c r="D253" s="172" t="s">
        <v>815</v>
      </c>
      <c r="E253" s="171" t="s">
        <v>333</v>
      </c>
      <c r="F253" s="174">
        <f>Memória!E554+Memória!E573</f>
        <v>12.214499999999999</v>
      </c>
      <c r="G253" s="191">
        <v>63.2</v>
      </c>
      <c r="H253" s="191">
        <f t="shared" si="53"/>
        <v>81.5</v>
      </c>
      <c r="I253" s="191">
        <f t="shared" si="54"/>
        <v>995.48</v>
      </c>
    </row>
    <row r="254" spans="1:9" ht="25" x14ac:dyDescent="0.25">
      <c r="A254" s="171" t="s">
        <v>440</v>
      </c>
      <c r="B254" s="171" t="s">
        <v>599</v>
      </c>
      <c r="C254" s="171" t="s">
        <v>798</v>
      </c>
      <c r="D254" s="172" t="s">
        <v>816</v>
      </c>
      <c r="E254" s="171" t="s">
        <v>333</v>
      </c>
      <c r="F254" s="174">
        <f>Memória!E551+Memória!F554+Memória!F573</f>
        <v>1.1889491118430775</v>
      </c>
      <c r="G254" s="191">
        <v>535.89</v>
      </c>
      <c r="H254" s="191">
        <f t="shared" si="53"/>
        <v>691.03</v>
      </c>
      <c r="I254" s="191">
        <f t="shared" si="54"/>
        <v>821.6</v>
      </c>
    </row>
    <row r="255" spans="1:9" ht="37.5" x14ac:dyDescent="0.25">
      <c r="A255" s="171" t="s">
        <v>441</v>
      </c>
      <c r="B255" s="171" t="s">
        <v>600</v>
      </c>
      <c r="C255" s="171" t="s">
        <v>798</v>
      </c>
      <c r="D255" s="172" t="s">
        <v>817</v>
      </c>
      <c r="E255" s="171" t="s">
        <v>333</v>
      </c>
      <c r="F255" s="186">
        <f>Proj.Estr!W51</f>
        <v>11.512</v>
      </c>
      <c r="G255" s="191">
        <v>693.73</v>
      </c>
      <c r="H255" s="191">
        <f t="shared" si="53"/>
        <v>894.56</v>
      </c>
      <c r="I255" s="191">
        <f t="shared" si="54"/>
        <v>10298.17</v>
      </c>
    </row>
    <row r="256" spans="1:9" ht="37.5" x14ac:dyDescent="0.25">
      <c r="A256" s="171" t="s">
        <v>442</v>
      </c>
      <c r="B256" s="171" t="s">
        <v>601</v>
      </c>
      <c r="C256" s="171" t="s">
        <v>798</v>
      </c>
      <c r="D256" s="172" t="s">
        <v>818</v>
      </c>
      <c r="E256" s="171" t="s">
        <v>336</v>
      </c>
      <c r="F256" s="186">
        <f>Proj.Estr!X51</f>
        <v>435.20000000000005</v>
      </c>
      <c r="G256" s="191">
        <v>11.26</v>
      </c>
      <c r="H256" s="191">
        <f t="shared" si="53"/>
        <v>14.52</v>
      </c>
      <c r="I256" s="191">
        <f t="shared" si="54"/>
        <v>6319.1</v>
      </c>
    </row>
    <row r="257" spans="1:9" ht="25" x14ac:dyDescent="0.25">
      <c r="A257" s="171" t="s">
        <v>443</v>
      </c>
      <c r="B257" s="171" t="s">
        <v>603</v>
      </c>
      <c r="C257" s="171" t="s">
        <v>798</v>
      </c>
      <c r="D257" s="172" t="s">
        <v>819</v>
      </c>
      <c r="E257" s="171" t="s">
        <v>331</v>
      </c>
      <c r="F257" s="186">
        <f>Proj.Estr!V51</f>
        <v>40.900000000000006</v>
      </c>
      <c r="G257" s="191">
        <v>44.45</v>
      </c>
      <c r="H257" s="191">
        <f t="shared" si="53"/>
        <v>57.32</v>
      </c>
      <c r="I257" s="191">
        <f t="shared" si="54"/>
        <v>2344.39</v>
      </c>
    </row>
    <row r="258" spans="1:9" ht="25" x14ac:dyDescent="0.25">
      <c r="A258" s="171" t="s">
        <v>444</v>
      </c>
      <c r="B258" s="171" t="s">
        <v>604</v>
      </c>
      <c r="C258" s="171" t="s">
        <v>798</v>
      </c>
      <c r="D258" s="172" t="s">
        <v>820</v>
      </c>
      <c r="E258" s="171" t="s">
        <v>333</v>
      </c>
      <c r="F258" s="174">
        <f>Memória!J554+Memória!J573</f>
        <v>5.3069999999999995</v>
      </c>
      <c r="G258" s="191">
        <v>45.71</v>
      </c>
      <c r="H258" s="191">
        <f t="shared" si="53"/>
        <v>58.94</v>
      </c>
      <c r="I258" s="191">
        <f t="shared" si="54"/>
        <v>312.79000000000002</v>
      </c>
    </row>
    <row r="259" spans="1:9" ht="62.5" x14ac:dyDescent="0.25">
      <c r="A259" s="171" t="s">
        <v>445</v>
      </c>
      <c r="B259" s="171" t="s">
        <v>605</v>
      </c>
      <c r="C259" s="171" t="s">
        <v>798</v>
      </c>
      <c r="D259" s="172" t="s">
        <v>977</v>
      </c>
      <c r="E259" s="171" t="s">
        <v>331</v>
      </c>
      <c r="F259" s="174">
        <f>Memória!B579</f>
        <v>69.074999999999989</v>
      </c>
      <c r="G259" s="191">
        <v>71.86</v>
      </c>
      <c r="H259" s="191">
        <f t="shared" si="53"/>
        <v>92.66</v>
      </c>
      <c r="I259" s="191">
        <f t="shared" si="54"/>
        <v>6400.49</v>
      </c>
    </row>
    <row r="260" spans="1:9" s="165" customFormat="1" ht="13" x14ac:dyDescent="0.3">
      <c r="A260" s="206" t="s">
        <v>446</v>
      </c>
      <c r="B260" s="206"/>
      <c r="C260" s="206"/>
      <c r="D260" s="204" t="s">
        <v>340</v>
      </c>
      <c r="E260" s="206"/>
      <c r="F260" s="207"/>
      <c r="G260" s="208"/>
      <c r="H260" s="212"/>
      <c r="I260" s="208"/>
    </row>
    <row r="261" spans="1:9" ht="37.5" x14ac:dyDescent="0.25">
      <c r="A261" s="171" t="s">
        <v>447</v>
      </c>
      <c r="B261" s="171" t="s">
        <v>600</v>
      </c>
      <c r="C261" s="171" t="s">
        <v>798</v>
      </c>
      <c r="D261" s="172" t="s">
        <v>817</v>
      </c>
      <c r="E261" s="171" t="s">
        <v>333</v>
      </c>
      <c r="F261" s="186">
        <f>Proj.Estr!S63</f>
        <v>43.416000000000011</v>
      </c>
      <c r="G261" s="191">
        <v>693.73</v>
      </c>
      <c r="H261" s="191">
        <f t="shared" ref="H261:H268" si="55">ROUND((G261*(1+$I$5)),2)</f>
        <v>894.56</v>
      </c>
      <c r="I261" s="191">
        <f t="shared" ref="I261:I268" si="56">ROUND((H261*F261),2)</f>
        <v>38838.22</v>
      </c>
    </row>
    <row r="262" spans="1:9" ht="37.5" x14ac:dyDescent="0.25">
      <c r="A262" s="171" t="s">
        <v>448</v>
      </c>
      <c r="B262" s="171" t="s">
        <v>601</v>
      </c>
      <c r="C262" s="171" t="s">
        <v>798</v>
      </c>
      <c r="D262" s="179" t="s">
        <v>818</v>
      </c>
      <c r="E262" s="180" t="s">
        <v>336</v>
      </c>
      <c r="F262" s="216">
        <f>Proj.Estr!T63</f>
        <v>3524.5800000000008</v>
      </c>
      <c r="G262" s="191">
        <v>11.26</v>
      </c>
      <c r="H262" s="193">
        <f t="shared" si="55"/>
        <v>14.52</v>
      </c>
      <c r="I262" s="191">
        <f t="shared" si="56"/>
        <v>51176.9</v>
      </c>
    </row>
    <row r="263" spans="1:9" ht="25" x14ac:dyDescent="0.25">
      <c r="A263" s="171" t="s">
        <v>449</v>
      </c>
      <c r="B263" s="171" t="s">
        <v>606</v>
      </c>
      <c r="C263" s="171" t="s">
        <v>798</v>
      </c>
      <c r="D263" s="172" t="s">
        <v>822</v>
      </c>
      <c r="E263" s="171" t="s">
        <v>331</v>
      </c>
      <c r="F263" s="186">
        <f>Proj.Estr!Q63</f>
        <v>318.63200000000006</v>
      </c>
      <c r="G263" s="191">
        <v>44.45</v>
      </c>
      <c r="H263" s="191">
        <f t="shared" si="55"/>
        <v>57.32</v>
      </c>
      <c r="I263" s="191">
        <f t="shared" si="56"/>
        <v>18263.990000000002</v>
      </c>
    </row>
    <row r="264" spans="1:9" ht="37.5" x14ac:dyDescent="0.25">
      <c r="A264" s="171" t="s">
        <v>450</v>
      </c>
      <c r="B264" s="171" t="s">
        <v>607</v>
      </c>
      <c r="C264" s="171" t="s">
        <v>798</v>
      </c>
      <c r="D264" s="172" t="s">
        <v>823</v>
      </c>
      <c r="E264" s="171" t="s">
        <v>331</v>
      </c>
      <c r="F264" s="174">
        <f>Memória!C601</f>
        <v>258.70979999999997</v>
      </c>
      <c r="G264" s="191">
        <v>21.06</v>
      </c>
      <c r="H264" s="191">
        <f t="shared" si="55"/>
        <v>27.16</v>
      </c>
      <c r="I264" s="191">
        <f t="shared" si="56"/>
        <v>7026.56</v>
      </c>
    </row>
    <row r="265" spans="1:9" ht="37.5" x14ac:dyDescent="0.25">
      <c r="A265" s="171" t="s">
        <v>451</v>
      </c>
      <c r="B265" s="171" t="s">
        <v>609</v>
      </c>
      <c r="C265" s="171" t="s">
        <v>798</v>
      </c>
      <c r="D265" s="172" t="s">
        <v>825</v>
      </c>
      <c r="E265" s="171" t="s">
        <v>331</v>
      </c>
      <c r="F265" s="174">
        <f>Memória!C585*3</f>
        <v>191.85</v>
      </c>
      <c r="G265" s="191">
        <v>19.059999999999999</v>
      </c>
      <c r="H265" s="191">
        <f t="shared" si="55"/>
        <v>24.58</v>
      </c>
      <c r="I265" s="191">
        <f t="shared" si="56"/>
        <v>4715.67</v>
      </c>
    </row>
    <row r="266" spans="1:9" ht="75" x14ac:dyDescent="0.25">
      <c r="A266" s="171" t="s">
        <v>452</v>
      </c>
      <c r="B266" s="171" t="s">
        <v>610</v>
      </c>
      <c r="C266" s="171" t="s">
        <v>798</v>
      </c>
      <c r="D266" s="172" t="s">
        <v>826</v>
      </c>
      <c r="E266" s="171" t="s">
        <v>331</v>
      </c>
      <c r="F266" s="174">
        <f>Memória!F589</f>
        <v>58.507599999999996</v>
      </c>
      <c r="G266" s="191">
        <v>130.77000000000001</v>
      </c>
      <c r="H266" s="191">
        <f t="shared" si="55"/>
        <v>168.63</v>
      </c>
      <c r="I266" s="191">
        <f t="shared" si="56"/>
        <v>9866.14</v>
      </c>
    </row>
    <row r="267" spans="1:9" ht="75" x14ac:dyDescent="0.25">
      <c r="A267" s="171" t="s">
        <v>453</v>
      </c>
      <c r="B267" s="171" t="s">
        <v>611</v>
      </c>
      <c r="C267" s="171" t="s">
        <v>798</v>
      </c>
      <c r="D267" s="172" t="s">
        <v>827</v>
      </c>
      <c r="E267" s="171" t="s">
        <v>331</v>
      </c>
      <c r="F267" s="174">
        <f>Memória!F590</f>
        <v>27.728999999999985</v>
      </c>
      <c r="G267" s="191">
        <v>137.68</v>
      </c>
      <c r="H267" s="191">
        <f t="shared" si="55"/>
        <v>177.54</v>
      </c>
      <c r="I267" s="191">
        <f t="shared" si="56"/>
        <v>4923.01</v>
      </c>
    </row>
    <row r="268" spans="1:9" x14ac:dyDescent="0.25">
      <c r="A268" s="171" t="s">
        <v>454</v>
      </c>
      <c r="B268" s="171" t="s">
        <v>613</v>
      </c>
      <c r="C268" s="171" t="s">
        <v>798</v>
      </c>
      <c r="D268" s="172" t="s">
        <v>976</v>
      </c>
      <c r="E268" s="171" t="s">
        <v>331</v>
      </c>
      <c r="F268" s="174">
        <f>F266+F267</f>
        <v>86.236599999999981</v>
      </c>
      <c r="G268" s="191">
        <v>21.54</v>
      </c>
      <c r="H268" s="191">
        <f t="shared" si="55"/>
        <v>27.78</v>
      </c>
      <c r="I268" s="191">
        <f t="shared" si="56"/>
        <v>2395.65</v>
      </c>
    </row>
    <row r="269" spans="1:9" s="165" customFormat="1" ht="13" x14ac:dyDescent="0.3">
      <c r="A269" s="206" t="s">
        <v>455</v>
      </c>
      <c r="B269" s="206"/>
      <c r="C269" s="206"/>
      <c r="D269" s="204" t="s">
        <v>348</v>
      </c>
      <c r="E269" s="206"/>
      <c r="F269" s="207"/>
      <c r="G269" s="208"/>
      <c r="H269" s="212"/>
      <c r="I269" s="208"/>
    </row>
    <row r="270" spans="1:9" ht="37.5" x14ac:dyDescent="0.25">
      <c r="A270" s="171" t="s">
        <v>456</v>
      </c>
      <c r="B270" s="171" t="s">
        <v>614</v>
      </c>
      <c r="C270" s="171" t="s">
        <v>798</v>
      </c>
      <c r="D270" s="172" t="s">
        <v>830</v>
      </c>
      <c r="E270" s="171" t="s">
        <v>331</v>
      </c>
      <c r="F270" s="174">
        <f>Memória!C634</f>
        <v>276.41600000000005</v>
      </c>
      <c r="G270" s="191">
        <v>64.67</v>
      </c>
      <c r="H270" s="191">
        <f t="shared" ref="H270:H275" si="57">ROUND((G270*(1+$I$5)),2)</f>
        <v>83.39</v>
      </c>
      <c r="I270" s="191">
        <f t="shared" ref="I270:I275" si="58">ROUND((H270*F270),2)</f>
        <v>23050.33</v>
      </c>
    </row>
    <row r="271" spans="1:9" ht="62.5" x14ac:dyDescent="0.25">
      <c r="A271" s="171" t="s">
        <v>457</v>
      </c>
      <c r="B271" s="171" t="s">
        <v>615</v>
      </c>
      <c r="C271" s="171" t="s">
        <v>798</v>
      </c>
      <c r="D271" s="172" t="s">
        <v>831</v>
      </c>
      <c r="E271" s="171" t="s">
        <v>331</v>
      </c>
      <c r="F271" s="174">
        <f>Memória!B658</f>
        <v>552.83200000000011</v>
      </c>
      <c r="G271" s="191">
        <v>8.6999999999999993</v>
      </c>
      <c r="H271" s="191">
        <f t="shared" si="57"/>
        <v>11.22</v>
      </c>
      <c r="I271" s="191">
        <f t="shared" si="58"/>
        <v>6202.78</v>
      </c>
    </row>
    <row r="272" spans="1:9" ht="50" x14ac:dyDescent="0.25">
      <c r="A272" s="171" t="s">
        <v>458</v>
      </c>
      <c r="B272" s="171" t="s">
        <v>616</v>
      </c>
      <c r="C272" s="171" t="s">
        <v>798</v>
      </c>
      <c r="D272" s="172" t="s">
        <v>832</v>
      </c>
      <c r="E272" s="171" t="s">
        <v>331</v>
      </c>
      <c r="F272" s="174">
        <f>Memória!B659</f>
        <v>356.69599999999997</v>
      </c>
      <c r="G272" s="191">
        <v>31.15</v>
      </c>
      <c r="H272" s="191">
        <f t="shared" si="57"/>
        <v>40.17</v>
      </c>
      <c r="I272" s="191">
        <f t="shared" si="58"/>
        <v>14328.48</v>
      </c>
    </row>
    <row r="273" spans="1:9" ht="50" x14ac:dyDescent="0.25">
      <c r="A273" s="171" t="s">
        <v>459</v>
      </c>
      <c r="B273" s="171" t="s">
        <v>617</v>
      </c>
      <c r="C273" s="171" t="s">
        <v>798</v>
      </c>
      <c r="D273" s="172" t="s">
        <v>833</v>
      </c>
      <c r="E273" s="171" t="s">
        <v>331</v>
      </c>
      <c r="F273" s="174">
        <f>Memória!B660</f>
        <v>1105.6640000000002</v>
      </c>
      <c r="G273" s="191">
        <v>31.01</v>
      </c>
      <c r="H273" s="191">
        <f t="shared" si="57"/>
        <v>39.99</v>
      </c>
      <c r="I273" s="191">
        <f t="shared" si="58"/>
        <v>44215.5</v>
      </c>
    </row>
    <row r="274" spans="1:9" ht="62.5" x14ac:dyDescent="0.25">
      <c r="A274" s="171" t="s">
        <v>460</v>
      </c>
      <c r="B274" s="171" t="s">
        <v>618</v>
      </c>
      <c r="C274" s="171" t="s">
        <v>798</v>
      </c>
      <c r="D274" s="172" t="s">
        <v>834</v>
      </c>
      <c r="E274" s="171" t="s">
        <v>331</v>
      </c>
      <c r="F274" s="174">
        <f>Memória!B659</f>
        <v>356.69599999999997</v>
      </c>
      <c r="G274" s="191">
        <v>67.349999999999994</v>
      </c>
      <c r="H274" s="191">
        <f t="shared" si="57"/>
        <v>86.85</v>
      </c>
      <c r="I274" s="191">
        <f t="shared" si="58"/>
        <v>30979.05</v>
      </c>
    </row>
    <row r="275" spans="1:9" ht="37.5" x14ac:dyDescent="0.25">
      <c r="A275" s="171" t="s">
        <v>461</v>
      </c>
      <c r="B275" s="171" t="s">
        <v>619</v>
      </c>
      <c r="C275" s="171" t="s">
        <v>798</v>
      </c>
      <c r="D275" s="172" t="s">
        <v>835</v>
      </c>
      <c r="E275" s="171" t="s">
        <v>331</v>
      </c>
      <c r="F275" s="174">
        <f>Memória!C598</f>
        <v>86.236599999999981</v>
      </c>
      <c r="G275" s="191">
        <v>55.98</v>
      </c>
      <c r="H275" s="191">
        <f t="shared" si="57"/>
        <v>72.19</v>
      </c>
      <c r="I275" s="191">
        <f t="shared" si="58"/>
        <v>6225.42</v>
      </c>
    </row>
    <row r="276" spans="1:9" s="165" customFormat="1" ht="13" x14ac:dyDescent="0.3">
      <c r="A276" s="206" t="s">
        <v>475</v>
      </c>
      <c r="B276" s="206"/>
      <c r="C276" s="206"/>
      <c r="D276" s="204" t="s">
        <v>356</v>
      </c>
      <c r="E276" s="206"/>
      <c r="F276" s="207"/>
      <c r="G276" s="208"/>
      <c r="H276" s="212"/>
      <c r="I276" s="208"/>
    </row>
    <row r="277" spans="1:9" ht="25" x14ac:dyDescent="0.25">
      <c r="A277" s="171" t="s">
        <v>476</v>
      </c>
      <c r="B277" s="171" t="s">
        <v>620</v>
      </c>
      <c r="C277" s="171" t="s">
        <v>798</v>
      </c>
      <c r="D277" s="172" t="s">
        <v>836</v>
      </c>
      <c r="E277" s="171" t="s">
        <v>331</v>
      </c>
      <c r="F277" s="174">
        <f>Memória!A738</f>
        <v>86.236599999999981</v>
      </c>
      <c r="G277" s="191">
        <v>2.95</v>
      </c>
      <c r="H277" s="191">
        <f t="shared" ref="H277:H282" si="59">ROUND((G277*(1+$I$5)),2)</f>
        <v>3.8</v>
      </c>
      <c r="I277" s="191">
        <f t="shared" ref="I277:I282" si="60">ROUND((H277*F277),2)</f>
        <v>327.7</v>
      </c>
    </row>
    <row r="278" spans="1:9" ht="25" x14ac:dyDescent="0.25">
      <c r="A278" s="171" t="s">
        <v>477</v>
      </c>
      <c r="B278" s="171" t="s">
        <v>621</v>
      </c>
      <c r="C278" s="171" t="s">
        <v>798</v>
      </c>
      <c r="D278" s="172" t="s">
        <v>837</v>
      </c>
      <c r="E278" s="171" t="s">
        <v>331</v>
      </c>
      <c r="F278" s="174">
        <f>Memória!C740</f>
        <v>86.236599999999981</v>
      </c>
      <c r="G278" s="191">
        <v>33.86</v>
      </c>
      <c r="H278" s="191">
        <f t="shared" si="59"/>
        <v>43.66</v>
      </c>
      <c r="I278" s="191">
        <f t="shared" si="60"/>
        <v>3765.09</v>
      </c>
    </row>
    <row r="279" spans="1:9" ht="37.5" x14ac:dyDescent="0.25">
      <c r="A279" s="171" t="s">
        <v>478</v>
      </c>
      <c r="B279" s="171" t="s">
        <v>622</v>
      </c>
      <c r="C279" s="171" t="s">
        <v>798</v>
      </c>
      <c r="D279" s="172" t="s">
        <v>838</v>
      </c>
      <c r="E279" s="171" t="s">
        <v>331</v>
      </c>
      <c r="F279" s="174">
        <f>Memória!C741</f>
        <v>86.236599999999981</v>
      </c>
      <c r="G279" s="191">
        <v>50.09</v>
      </c>
      <c r="H279" s="191">
        <f t="shared" si="59"/>
        <v>64.59</v>
      </c>
      <c r="I279" s="191">
        <f t="shared" si="60"/>
        <v>5570.02</v>
      </c>
    </row>
    <row r="280" spans="1:9" ht="50" x14ac:dyDescent="0.25">
      <c r="A280" s="171" t="s">
        <v>479</v>
      </c>
      <c r="B280" s="171" t="s">
        <v>623</v>
      </c>
      <c r="C280" s="171" t="s">
        <v>798</v>
      </c>
      <c r="D280" s="172" t="s">
        <v>839</v>
      </c>
      <c r="E280" s="171" t="s">
        <v>331</v>
      </c>
      <c r="F280" s="174">
        <f>Memória!C742</f>
        <v>86.236599999999981</v>
      </c>
      <c r="G280" s="191">
        <v>78.08</v>
      </c>
      <c r="H280" s="191">
        <f t="shared" si="59"/>
        <v>100.68</v>
      </c>
      <c r="I280" s="191">
        <f t="shared" si="60"/>
        <v>8682.2999999999993</v>
      </c>
    </row>
    <row r="281" spans="1:9" ht="37.5" x14ac:dyDescent="0.25">
      <c r="A281" s="171" t="s">
        <v>480</v>
      </c>
      <c r="B281" s="171" t="s">
        <v>624</v>
      </c>
      <c r="C281" s="171" t="s">
        <v>798</v>
      </c>
      <c r="D281" s="172" t="s">
        <v>840</v>
      </c>
      <c r="E281" s="171" t="s">
        <v>335</v>
      </c>
      <c r="F281" s="174">
        <f>Memória!B745</f>
        <v>325.53999999999996</v>
      </c>
      <c r="G281" s="191">
        <v>10.99</v>
      </c>
      <c r="H281" s="191">
        <f t="shared" si="59"/>
        <v>14.17</v>
      </c>
      <c r="I281" s="191">
        <f t="shared" si="60"/>
        <v>4612.8999999999996</v>
      </c>
    </row>
    <row r="282" spans="1:9" ht="25" x14ac:dyDescent="0.25">
      <c r="A282" s="171" t="s">
        <v>481</v>
      </c>
      <c r="B282" s="171" t="s">
        <v>625</v>
      </c>
      <c r="C282" s="171" t="s">
        <v>798</v>
      </c>
      <c r="D282" s="172" t="s">
        <v>841</v>
      </c>
      <c r="E282" s="171" t="s">
        <v>331</v>
      </c>
      <c r="F282" s="174">
        <f>Memória!H781</f>
        <v>6.0600000000000005</v>
      </c>
      <c r="G282" s="191">
        <v>300.98</v>
      </c>
      <c r="H282" s="191">
        <f t="shared" si="59"/>
        <v>388.11</v>
      </c>
      <c r="I282" s="191">
        <f t="shared" si="60"/>
        <v>2351.9499999999998</v>
      </c>
    </row>
    <row r="283" spans="1:9" s="165" customFormat="1" ht="13" x14ac:dyDescent="0.3">
      <c r="A283" s="206" t="s">
        <v>482</v>
      </c>
      <c r="B283" s="206"/>
      <c r="C283" s="206"/>
      <c r="D283" s="204" t="s">
        <v>359</v>
      </c>
      <c r="E283" s="206"/>
      <c r="F283" s="207"/>
      <c r="G283" s="208"/>
      <c r="H283" s="212"/>
      <c r="I283" s="208"/>
    </row>
    <row r="284" spans="1:9" ht="25" x14ac:dyDescent="0.25">
      <c r="A284" s="171" t="s">
        <v>483</v>
      </c>
      <c r="B284" s="171" t="s">
        <v>632</v>
      </c>
      <c r="C284" s="171" t="s">
        <v>798</v>
      </c>
      <c r="D284" s="172" t="s">
        <v>975</v>
      </c>
      <c r="E284" s="171" t="s">
        <v>331</v>
      </c>
      <c r="F284" s="174">
        <f>Memória!C720</f>
        <v>89.001000000000005</v>
      </c>
      <c r="G284" s="191">
        <v>115.93</v>
      </c>
      <c r="H284" s="191">
        <f t="shared" ref="H284:H289" si="61">ROUND((G284*(1+$I$5)),2)</f>
        <v>149.49</v>
      </c>
      <c r="I284" s="191">
        <f>ROUND((H284*F284),2)</f>
        <v>13304.76</v>
      </c>
    </row>
    <row r="285" spans="1:9" ht="37.5" x14ac:dyDescent="0.25">
      <c r="A285" s="171" t="s">
        <v>484</v>
      </c>
      <c r="B285" s="171" t="s">
        <v>735</v>
      </c>
      <c r="C285" s="171" t="s">
        <v>798</v>
      </c>
      <c r="D285" s="172" t="s">
        <v>974</v>
      </c>
      <c r="E285" s="171" t="s">
        <v>331</v>
      </c>
      <c r="F285" s="174">
        <f>Memória!C721</f>
        <v>91.226024999999993</v>
      </c>
      <c r="G285" s="191">
        <v>102.78</v>
      </c>
      <c r="H285" s="191">
        <f t="shared" si="61"/>
        <v>132.53</v>
      </c>
      <c r="I285" s="191">
        <f>ROUND((H285*F285),2)</f>
        <v>12090.19</v>
      </c>
    </row>
    <row r="286" spans="1:9" ht="37.5" x14ac:dyDescent="0.25">
      <c r="A286" s="171" t="s">
        <v>485</v>
      </c>
      <c r="B286" s="171" t="s">
        <v>736</v>
      </c>
      <c r="C286" s="171" t="s">
        <v>798</v>
      </c>
      <c r="D286" s="172" t="s">
        <v>973</v>
      </c>
      <c r="E286" s="171" t="s">
        <v>335</v>
      </c>
      <c r="F286" s="174">
        <f>Memória!A715+Memória!A716+Memória!A717</f>
        <v>15.370000000000001</v>
      </c>
      <c r="G286" s="191">
        <v>32.729999999999997</v>
      </c>
      <c r="H286" s="191">
        <f t="shared" si="61"/>
        <v>42.21</v>
      </c>
      <c r="I286" s="191">
        <f t="shared" ref="I286:I289" si="62">ROUND((H286*F286),2)</f>
        <v>648.77</v>
      </c>
    </row>
    <row r="287" spans="1:9" ht="37.5" x14ac:dyDescent="0.25">
      <c r="A287" s="171" t="s">
        <v>486</v>
      </c>
      <c r="B287" s="171" t="s">
        <v>630</v>
      </c>
      <c r="C287" s="171" t="s">
        <v>798</v>
      </c>
      <c r="D287" s="172" t="s">
        <v>846</v>
      </c>
      <c r="E287" s="171" t="s">
        <v>335</v>
      </c>
      <c r="F287" s="174">
        <f>Memória!C722</f>
        <v>71.319999999999993</v>
      </c>
      <c r="G287" s="191">
        <v>152.26</v>
      </c>
      <c r="H287" s="191">
        <f t="shared" si="61"/>
        <v>196.34</v>
      </c>
      <c r="I287" s="191">
        <f t="shared" si="62"/>
        <v>14002.97</v>
      </c>
    </row>
    <row r="288" spans="1:9" ht="37.5" x14ac:dyDescent="0.25">
      <c r="A288" s="171" t="s">
        <v>487</v>
      </c>
      <c r="B288" s="171" t="s">
        <v>631</v>
      </c>
      <c r="C288" s="171" t="s">
        <v>798</v>
      </c>
      <c r="D288" s="172" t="s">
        <v>847</v>
      </c>
      <c r="E288" s="171" t="s">
        <v>335</v>
      </c>
      <c r="F288" s="174">
        <f>Memória!B725*3.5</f>
        <v>21</v>
      </c>
      <c r="G288" s="191">
        <v>78.099999999999994</v>
      </c>
      <c r="H288" s="191">
        <f t="shared" si="61"/>
        <v>100.71</v>
      </c>
      <c r="I288" s="191">
        <f t="shared" si="62"/>
        <v>2114.91</v>
      </c>
    </row>
    <row r="289" spans="1:9" s="178" customFormat="1" ht="25" x14ac:dyDescent="0.25">
      <c r="A289" s="176" t="s">
        <v>488</v>
      </c>
      <c r="B289" s="178" t="s">
        <v>1171</v>
      </c>
      <c r="C289" s="171" t="s">
        <v>1172</v>
      </c>
      <c r="D289" s="168" t="s">
        <v>1170</v>
      </c>
      <c r="E289" s="171" t="s">
        <v>331</v>
      </c>
      <c r="F289" s="186">
        <f>Memória!B732</f>
        <v>16.2</v>
      </c>
      <c r="G289" s="194">
        <v>483</v>
      </c>
      <c r="H289" s="190">
        <f t="shared" si="61"/>
        <v>622.83000000000004</v>
      </c>
      <c r="I289" s="190">
        <f t="shared" si="62"/>
        <v>10089.85</v>
      </c>
    </row>
    <row r="290" spans="1:9" s="165" customFormat="1" ht="13" x14ac:dyDescent="0.3">
      <c r="A290" s="206" t="s">
        <v>489</v>
      </c>
      <c r="B290" s="206"/>
      <c r="C290" s="206"/>
      <c r="D290" s="204" t="s">
        <v>357</v>
      </c>
      <c r="E290" s="206"/>
      <c r="F290" s="207"/>
      <c r="G290" s="208"/>
      <c r="H290" s="212"/>
      <c r="I290" s="208"/>
    </row>
    <row r="291" spans="1:9" x14ac:dyDescent="0.25">
      <c r="A291" s="171" t="s">
        <v>490</v>
      </c>
      <c r="B291" s="171" t="s">
        <v>737</v>
      </c>
      <c r="C291" s="171" t="s">
        <v>798</v>
      </c>
      <c r="D291" s="172" t="s">
        <v>972</v>
      </c>
      <c r="E291" s="171" t="s">
        <v>331</v>
      </c>
      <c r="F291" s="174">
        <f>Memória!D698</f>
        <v>453.37999999999994</v>
      </c>
      <c r="G291" s="191">
        <v>2.85</v>
      </c>
      <c r="H291" s="191">
        <v>2.87</v>
      </c>
      <c r="I291" s="191">
        <f t="shared" ref="I291:I298" si="63">ROUND((H291*F291),2)</f>
        <v>1301.2</v>
      </c>
    </row>
    <row r="292" spans="1:9" ht="25" x14ac:dyDescent="0.25">
      <c r="A292" s="171" t="s">
        <v>491</v>
      </c>
      <c r="B292" s="171" t="s">
        <v>634</v>
      </c>
      <c r="C292" s="171" t="s">
        <v>798</v>
      </c>
      <c r="D292" s="172" t="s">
        <v>850</v>
      </c>
      <c r="E292" s="171" t="s">
        <v>331</v>
      </c>
      <c r="F292" s="174">
        <f>Memória!C704-F293</f>
        <v>456.3839999999999</v>
      </c>
      <c r="G292" s="191">
        <v>15.77</v>
      </c>
      <c r="H292" s="191">
        <f t="shared" ref="H292:H298" si="64">ROUND((G292*(1+$I$5)),2)</f>
        <v>20.34</v>
      </c>
      <c r="I292" s="191">
        <f t="shared" si="63"/>
        <v>9282.85</v>
      </c>
    </row>
    <row r="293" spans="1:9" ht="37.5" x14ac:dyDescent="0.25">
      <c r="A293" s="171" t="s">
        <v>492</v>
      </c>
      <c r="B293" s="171" t="s">
        <v>635</v>
      </c>
      <c r="C293" s="171" t="s">
        <v>798</v>
      </c>
      <c r="D293" s="172" t="s">
        <v>851</v>
      </c>
      <c r="E293" s="171" t="s">
        <v>331</v>
      </c>
      <c r="F293" s="174">
        <f>Memória!C704/2</f>
        <v>456.3839999999999</v>
      </c>
      <c r="G293" s="191">
        <v>25.06</v>
      </c>
      <c r="H293" s="191">
        <f t="shared" si="64"/>
        <v>32.31</v>
      </c>
      <c r="I293" s="191">
        <f t="shared" si="63"/>
        <v>14745.77</v>
      </c>
    </row>
    <row r="294" spans="1:9" ht="25" x14ac:dyDescent="0.25">
      <c r="A294" s="171" t="s">
        <v>493</v>
      </c>
      <c r="B294" s="171" t="s">
        <v>636</v>
      </c>
      <c r="C294" s="171" t="s">
        <v>798</v>
      </c>
      <c r="D294" s="172" t="s">
        <v>852</v>
      </c>
      <c r="E294" s="171" t="s">
        <v>331</v>
      </c>
      <c r="F294" s="174">
        <f>Memória!B710</f>
        <v>340</v>
      </c>
      <c r="G294" s="191">
        <v>17.3</v>
      </c>
      <c r="H294" s="191">
        <f t="shared" si="64"/>
        <v>22.31</v>
      </c>
      <c r="I294" s="191">
        <f t="shared" si="63"/>
        <v>7585.4</v>
      </c>
    </row>
    <row r="295" spans="1:9" ht="25" x14ac:dyDescent="0.25">
      <c r="A295" s="171" t="s">
        <v>494</v>
      </c>
      <c r="B295" s="171" t="s">
        <v>637</v>
      </c>
      <c r="C295" s="171" t="s">
        <v>798</v>
      </c>
      <c r="D295" s="172" t="s">
        <v>853</v>
      </c>
      <c r="E295" s="171" t="s">
        <v>331</v>
      </c>
      <c r="F295" s="174">
        <f>Memória!C708</f>
        <v>300.94799999999998</v>
      </c>
      <c r="G295" s="191">
        <v>29.53</v>
      </c>
      <c r="H295" s="191">
        <f t="shared" si="64"/>
        <v>38.08</v>
      </c>
      <c r="I295" s="191">
        <f t="shared" si="63"/>
        <v>11460.1</v>
      </c>
    </row>
    <row r="296" spans="1:9" ht="50" x14ac:dyDescent="0.25">
      <c r="A296" s="171" t="s">
        <v>495</v>
      </c>
      <c r="B296" s="171" t="s">
        <v>638</v>
      </c>
      <c r="C296" s="171" t="s">
        <v>798</v>
      </c>
      <c r="D296" s="172" t="s">
        <v>854</v>
      </c>
      <c r="E296" s="171" t="s">
        <v>331</v>
      </c>
      <c r="F296" s="174">
        <f>Memória!D782</f>
        <v>17.64</v>
      </c>
      <c r="G296" s="191">
        <v>35.97</v>
      </c>
      <c r="H296" s="191">
        <f t="shared" si="64"/>
        <v>46.38</v>
      </c>
      <c r="I296" s="191">
        <f t="shared" si="63"/>
        <v>818.14</v>
      </c>
    </row>
    <row r="297" spans="1:9" ht="37.5" x14ac:dyDescent="0.25">
      <c r="A297" s="171" t="s">
        <v>496</v>
      </c>
      <c r="B297" s="171" t="s">
        <v>639</v>
      </c>
      <c r="C297" s="171" t="s">
        <v>798</v>
      </c>
      <c r="D297" s="172" t="s">
        <v>855</v>
      </c>
      <c r="E297" s="171" t="s">
        <v>331</v>
      </c>
      <c r="F297" s="174">
        <f>Memória!D783</f>
        <v>6.7200000000000006</v>
      </c>
      <c r="G297" s="191">
        <v>29.88</v>
      </c>
      <c r="H297" s="191">
        <f t="shared" si="64"/>
        <v>38.53</v>
      </c>
      <c r="I297" s="191">
        <f t="shared" si="63"/>
        <v>258.92</v>
      </c>
    </row>
    <row r="298" spans="1:9" ht="25" x14ac:dyDescent="0.25">
      <c r="A298" s="171" t="s">
        <v>497</v>
      </c>
      <c r="B298" s="171" t="s">
        <v>640</v>
      </c>
      <c r="C298" s="171" t="s">
        <v>798</v>
      </c>
      <c r="D298" s="172" t="s">
        <v>856</v>
      </c>
      <c r="E298" s="171" t="s">
        <v>331</v>
      </c>
      <c r="F298" s="174">
        <f>F297</f>
        <v>6.7200000000000006</v>
      </c>
      <c r="G298" s="191">
        <v>35.92</v>
      </c>
      <c r="H298" s="191">
        <f t="shared" si="64"/>
        <v>46.32</v>
      </c>
      <c r="I298" s="191">
        <f t="shared" si="63"/>
        <v>311.27</v>
      </c>
    </row>
    <row r="299" spans="1:9" s="165" customFormat="1" ht="13" x14ac:dyDescent="0.3">
      <c r="A299" s="206" t="s">
        <v>498</v>
      </c>
      <c r="B299" s="206"/>
      <c r="C299" s="206"/>
      <c r="D299" s="204" t="s">
        <v>360</v>
      </c>
      <c r="E299" s="206"/>
      <c r="F299" s="207"/>
      <c r="G299" s="208"/>
      <c r="H299" s="212"/>
      <c r="I299" s="208"/>
    </row>
    <row r="300" spans="1:9" ht="75" x14ac:dyDescent="0.25">
      <c r="A300" s="171" t="s">
        <v>499</v>
      </c>
      <c r="B300" s="171" t="s">
        <v>738</v>
      </c>
      <c r="C300" s="171" t="s">
        <v>798</v>
      </c>
      <c r="D300" s="172" t="s">
        <v>971</v>
      </c>
      <c r="E300" s="171" t="s">
        <v>331</v>
      </c>
      <c r="F300" s="174">
        <f>Memória!F752+Memória!F753+Memória!F754</f>
        <v>8.4</v>
      </c>
      <c r="G300" s="191">
        <v>884.64</v>
      </c>
      <c r="H300" s="191">
        <f t="shared" ref="H300:H308" si="65">ROUND((G300*(1+$I$5)),2)</f>
        <v>1140.74</v>
      </c>
      <c r="I300" s="191">
        <f t="shared" ref="I300:I308" si="66">ROUND((H300*F300),2)</f>
        <v>9582.2199999999993</v>
      </c>
    </row>
    <row r="301" spans="1:9" ht="50" x14ac:dyDescent="0.25">
      <c r="A301" s="171" t="s">
        <v>500</v>
      </c>
      <c r="B301" s="171" t="s">
        <v>642</v>
      </c>
      <c r="C301" s="171" t="s">
        <v>798</v>
      </c>
      <c r="D301" s="172" t="s">
        <v>858</v>
      </c>
      <c r="E301" s="171" t="s">
        <v>331</v>
      </c>
      <c r="F301" s="174">
        <f>Memória!F759+Memória!F760+Memória!F761+Memória!F762+Memória!F763</f>
        <v>12.36</v>
      </c>
      <c r="G301" s="191">
        <v>836.67</v>
      </c>
      <c r="H301" s="191">
        <f t="shared" si="65"/>
        <v>1078.8900000000001</v>
      </c>
      <c r="I301" s="191">
        <f t="shared" si="66"/>
        <v>13335.08</v>
      </c>
    </row>
    <row r="302" spans="1:9" ht="50" x14ac:dyDescent="0.25">
      <c r="A302" s="171" t="s">
        <v>501</v>
      </c>
      <c r="B302" s="171" t="s">
        <v>739</v>
      </c>
      <c r="C302" s="171" t="s">
        <v>798</v>
      </c>
      <c r="D302" s="172" t="s">
        <v>970</v>
      </c>
      <c r="E302" s="171" t="s">
        <v>331</v>
      </c>
      <c r="F302" s="174">
        <f>Memória!F767+Memória!F778</f>
        <v>8.4</v>
      </c>
      <c r="G302" s="191">
        <v>341.7</v>
      </c>
      <c r="H302" s="191">
        <f t="shared" si="65"/>
        <v>440.62</v>
      </c>
      <c r="I302" s="191">
        <f t="shared" si="66"/>
        <v>3701.21</v>
      </c>
    </row>
    <row r="303" spans="1:9" ht="25" x14ac:dyDescent="0.25">
      <c r="A303" s="171" t="s">
        <v>502</v>
      </c>
      <c r="B303" s="171" t="s">
        <v>645</v>
      </c>
      <c r="C303" s="171" t="s">
        <v>798</v>
      </c>
      <c r="D303" s="172" t="s">
        <v>861</v>
      </c>
      <c r="E303" s="171" t="s">
        <v>331</v>
      </c>
      <c r="F303" s="174">
        <f>Memória!F772+Memória!F779</f>
        <v>5.25</v>
      </c>
      <c r="G303" s="191">
        <v>778.11</v>
      </c>
      <c r="H303" s="191">
        <f t="shared" si="65"/>
        <v>1003.37</v>
      </c>
      <c r="I303" s="191">
        <f t="shared" si="66"/>
        <v>5267.69</v>
      </c>
    </row>
    <row r="304" spans="1:9" ht="25" x14ac:dyDescent="0.25">
      <c r="A304" s="171" t="s">
        <v>503</v>
      </c>
      <c r="B304" s="171" t="s">
        <v>646</v>
      </c>
      <c r="C304" s="171" t="s">
        <v>798</v>
      </c>
      <c r="D304" s="168" t="s">
        <v>862</v>
      </c>
      <c r="E304" s="171" t="s">
        <v>331</v>
      </c>
      <c r="F304" s="174">
        <f>Memória!F770</f>
        <v>1.7999999999999998</v>
      </c>
      <c r="G304" s="191">
        <v>778.11</v>
      </c>
      <c r="H304" s="191">
        <f t="shared" si="65"/>
        <v>1003.37</v>
      </c>
      <c r="I304" s="191">
        <f t="shared" si="66"/>
        <v>1806.07</v>
      </c>
    </row>
    <row r="305" spans="1:9" ht="62.5" x14ac:dyDescent="0.25">
      <c r="A305" s="171" t="s">
        <v>504</v>
      </c>
      <c r="B305" s="171" t="s">
        <v>740</v>
      </c>
      <c r="C305" s="171" t="s">
        <v>798</v>
      </c>
      <c r="D305" s="172" t="s">
        <v>969</v>
      </c>
      <c r="E305" s="171" t="s">
        <v>323</v>
      </c>
      <c r="F305" s="174">
        <f>Memória!E773</f>
        <v>23</v>
      </c>
      <c r="G305" s="191">
        <v>994.09</v>
      </c>
      <c r="H305" s="191">
        <f t="shared" si="65"/>
        <v>1281.8800000000001</v>
      </c>
      <c r="I305" s="191">
        <f t="shared" si="66"/>
        <v>29483.24</v>
      </c>
    </row>
    <row r="306" spans="1:9" ht="62.5" x14ac:dyDescent="0.25">
      <c r="A306" s="171" t="s">
        <v>505</v>
      </c>
      <c r="B306" s="171" t="s">
        <v>741</v>
      </c>
      <c r="C306" s="171" t="s">
        <v>798</v>
      </c>
      <c r="D306" s="172" t="s">
        <v>968</v>
      </c>
      <c r="E306" s="171" t="s">
        <v>323</v>
      </c>
      <c r="F306" s="174">
        <f>Memória!E775</f>
        <v>2</v>
      </c>
      <c r="G306" s="191">
        <v>1031</v>
      </c>
      <c r="H306" s="191">
        <f t="shared" si="65"/>
        <v>1329.47</v>
      </c>
      <c r="I306" s="191">
        <f t="shared" si="66"/>
        <v>2658.94</v>
      </c>
    </row>
    <row r="307" spans="1:9" s="178" customFormat="1" ht="62.5" x14ac:dyDescent="0.25">
      <c r="A307" s="176" t="s">
        <v>506</v>
      </c>
      <c r="B307" s="176" t="s">
        <v>1045</v>
      </c>
      <c r="C307" s="176" t="s">
        <v>1045</v>
      </c>
      <c r="D307" s="177" t="s">
        <v>865</v>
      </c>
      <c r="E307" s="176" t="s">
        <v>323</v>
      </c>
      <c r="F307" s="173">
        <v>2</v>
      </c>
      <c r="G307" s="194">
        <f>CPU!H14</f>
        <v>2259.12</v>
      </c>
      <c r="H307" s="190">
        <f t="shared" si="65"/>
        <v>2913.14</v>
      </c>
      <c r="I307" s="190">
        <f t="shared" si="66"/>
        <v>5826.28</v>
      </c>
    </row>
    <row r="308" spans="1:9" ht="62.5" x14ac:dyDescent="0.25">
      <c r="A308" s="171" t="s">
        <v>507</v>
      </c>
      <c r="B308" s="171" t="s">
        <v>649</v>
      </c>
      <c r="C308" s="171" t="s">
        <v>798</v>
      </c>
      <c r="D308" s="172" t="s">
        <v>866</v>
      </c>
      <c r="E308" s="171" t="s">
        <v>331</v>
      </c>
      <c r="F308" s="174">
        <f>Memória!D784+Memória!D785</f>
        <v>16.399999999999999</v>
      </c>
      <c r="G308" s="191">
        <v>206.75</v>
      </c>
      <c r="H308" s="191">
        <f t="shared" si="65"/>
        <v>266.60000000000002</v>
      </c>
      <c r="I308" s="191">
        <f t="shared" si="66"/>
        <v>4372.24</v>
      </c>
    </row>
    <row r="309" spans="1:9" s="165" customFormat="1" ht="13" x14ac:dyDescent="0.3">
      <c r="A309" s="206" t="s">
        <v>508</v>
      </c>
      <c r="B309" s="206"/>
      <c r="C309" s="206"/>
      <c r="D309" s="204" t="s">
        <v>361</v>
      </c>
      <c r="E309" s="206"/>
      <c r="F309" s="207"/>
      <c r="G309" s="208"/>
      <c r="H309" s="212"/>
      <c r="I309" s="208"/>
    </row>
    <row r="310" spans="1:9" ht="25" x14ac:dyDescent="0.25">
      <c r="A310" s="171" t="s">
        <v>509</v>
      </c>
      <c r="B310" s="171" t="s">
        <v>742</v>
      </c>
      <c r="C310" s="171" t="s">
        <v>798</v>
      </c>
      <c r="D310" s="172" t="s">
        <v>967</v>
      </c>
      <c r="E310" s="171" t="s">
        <v>331</v>
      </c>
      <c r="F310" s="174">
        <f>Memória!D793</f>
        <v>0.62</v>
      </c>
      <c r="G310" s="191">
        <v>668.6</v>
      </c>
      <c r="H310" s="191">
        <f>ROUND((G310*(1+$I$5)),2)</f>
        <v>862.16</v>
      </c>
      <c r="I310" s="191">
        <f t="shared" ref="I310:I313" si="67">ROUND((H310*F310),2)</f>
        <v>534.54</v>
      </c>
    </row>
    <row r="311" spans="1:9" ht="75" x14ac:dyDescent="0.25">
      <c r="A311" s="171" t="s">
        <v>510</v>
      </c>
      <c r="B311" s="171" t="s">
        <v>743</v>
      </c>
      <c r="C311" s="171" t="s">
        <v>798</v>
      </c>
      <c r="D311" s="172" t="s">
        <v>966</v>
      </c>
      <c r="E311" s="171" t="s">
        <v>331</v>
      </c>
      <c r="F311" s="174">
        <f>Memória!D800</f>
        <v>31.052</v>
      </c>
      <c r="G311" s="191">
        <v>101.73</v>
      </c>
      <c r="H311" s="191">
        <f>ROUND((G311*(1+$I$5)),2)</f>
        <v>131.18</v>
      </c>
      <c r="I311" s="191">
        <f t="shared" si="67"/>
        <v>4073.4</v>
      </c>
    </row>
    <row r="312" spans="1:9" ht="25" x14ac:dyDescent="0.25">
      <c r="A312" s="171" t="s">
        <v>511</v>
      </c>
      <c r="B312" s="171" t="s">
        <v>744</v>
      </c>
      <c r="C312" s="171" t="s">
        <v>798</v>
      </c>
      <c r="D312" s="172" t="s">
        <v>965</v>
      </c>
      <c r="E312" s="171" t="s">
        <v>331</v>
      </c>
      <c r="F312" s="174">
        <f>Memória!D811</f>
        <v>13.718499999999999</v>
      </c>
      <c r="G312" s="191">
        <v>376.06</v>
      </c>
      <c r="H312" s="191">
        <f>ROUND((G312*(1+$I$5)),2)</f>
        <v>484.93</v>
      </c>
      <c r="I312" s="191">
        <f t="shared" si="67"/>
        <v>6652.51</v>
      </c>
    </row>
    <row r="313" spans="1:9" ht="37.5" x14ac:dyDescent="0.25">
      <c r="A313" s="171" t="s">
        <v>512</v>
      </c>
      <c r="B313" s="171" t="s">
        <v>653</v>
      </c>
      <c r="C313" s="171" t="s">
        <v>798</v>
      </c>
      <c r="D313" s="172" t="s">
        <v>870</v>
      </c>
      <c r="E313" s="171" t="s">
        <v>335</v>
      </c>
      <c r="F313" s="174">
        <f>Memória!C813</f>
        <v>27.56</v>
      </c>
      <c r="G313" s="191">
        <v>48.92</v>
      </c>
      <c r="H313" s="191">
        <f>ROUND((G313*(1+$I$5)),2)</f>
        <v>63.08</v>
      </c>
      <c r="I313" s="191">
        <f t="shared" si="67"/>
        <v>1738.48</v>
      </c>
    </row>
    <row r="314" spans="1:9" s="165" customFormat="1" ht="13" x14ac:dyDescent="0.3">
      <c r="A314" s="206" t="s">
        <v>513</v>
      </c>
      <c r="B314" s="206"/>
      <c r="C314" s="206"/>
      <c r="D314" s="204" t="s">
        <v>362</v>
      </c>
      <c r="E314" s="206"/>
      <c r="F314" s="207"/>
      <c r="G314" s="208"/>
      <c r="H314" s="212"/>
      <c r="I314" s="208"/>
    </row>
    <row r="315" spans="1:9" ht="13" x14ac:dyDescent="0.3">
      <c r="A315" s="184" t="s">
        <v>514</v>
      </c>
      <c r="B315" s="171"/>
      <c r="C315" s="171"/>
      <c r="D315" s="185" t="s">
        <v>363</v>
      </c>
      <c r="E315" s="171"/>
      <c r="F315" s="174"/>
      <c r="G315" s="191"/>
      <c r="H315" s="191"/>
      <c r="I315" s="191"/>
    </row>
    <row r="316" spans="1:9" ht="37.5" x14ac:dyDescent="0.25">
      <c r="A316" s="171" t="s">
        <v>514</v>
      </c>
      <c r="B316" s="171" t="s">
        <v>661</v>
      </c>
      <c r="C316" s="171" t="s">
        <v>798</v>
      </c>
      <c r="D316" s="172" t="s">
        <v>878</v>
      </c>
      <c r="E316" s="171" t="s">
        <v>323</v>
      </c>
      <c r="F316" s="174">
        <v>2</v>
      </c>
      <c r="G316" s="191">
        <v>110.59</v>
      </c>
      <c r="H316" s="191">
        <f t="shared" ref="H316:H322" si="68">ROUND((G316*(1+$I$5)),2)</f>
        <v>142.61000000000001</v>
      </c>
      <c r="I316" s="191">
        <f t="shared" ref="I316:I322" si="69">ROUND((H316*F316),2)</f>
        <v>285.22000000000003</v>
      </c>
    </row>
    <row r="317" spans="1:9" ht="37.5" x14ac:dyDescent="0.25">
      <c r="A317" s="171" t="s">
        <v>515</v>
      </c>
      <c r="B317" s="171" t="s">
        <v>662</v>
      </c>
      <c r="C317" s="171" t="s">
        <v>798</v>
      </c>
      <c r="D317" s="172" t="s">
        <v>879</v>
      </c>
      <c r="E317" s="171" t="s">
        <v>323</v>
      </c>
      <c r="F317" s="174">
        <v>8</v>
      </c>
      <c r="G317" s="191">
        <v>83</v>
      </c>
      <c r="H317" s="191">
        <f t="shared" si="68"/>
        <v>107.03</v>
      </c>
      <c r="I317" s="191">
        <f t="shared" si="69"/>
        <v>856.24</v>
      </c>
    </row>
    <row r="318" spans="1:9" ht="62.5" x14ac:dyDescent="0.25">
      <c r="A318" s="171" t="s">
        <v>516</v>
      </c>
      <c r="B318" s="171" t="s">
        <v>663</v>
      </c>
      <c r="C318" s="171" t="s">
        <v>798</v>
      </c>
      <c r="D318" s="172" t="s">
        <v>880</v>
      </c>
      <c r="E318" s="171" t="s">
        <v>323</v>
      </c>
      <c r="F318" s="174">
        <f>Memória!C820</f>
        <v>27</v>
      </c>
      <c r="G318" s="191">
        <v>123.2</v>
      </c>
      <c r="H318" s="191">
        <f t="shared" si="68"/>
        <v>158.87</v>
      </c>
      <c r="I318" s="191">
        <f t="shared" si="69"/>
        <v>4289.49</v>
      </c>
    </row>
    <row r="319" spans="1:9" ht="100" x14ac:dyDescent="0.25">
      <c r="A319" s="171" t="s">
        <v>517</v>
      </c>
      <c r="B319" s="171" t="s">
        <v>664</v>
      </c>
      <c r="C319" s="171" t="s">
        <v>798</v>
      </c>
      <c r="D319" s="172" t="s">
        <v>881</v>
      </c>
      <c r="E319" s="171" t="s">
        <v>323</v>
      </c>
      <c r="F319" s="174">
        <f>Memória!B824</f>
        <v>18</v>
      </c>
      <c r="G319" s="191">
        <v>145.58000000000001</v>
      </c>
      <c r="H319" s="191">
        <f t="shared" si="68"/>
        <v>187.73</v>
      </c>
      <c r="I319" s="191">
        <f t="shared" si="69"/>
        <v>3379.14</v>
      </c>
    </row>
    <row r="320" spans="1:9" ht="75" x14ac:dyDescent="0.25">
      <c r="A320" s="171" t="s">
        <v>518</v>
      </c>
      <c r="B320" s="171" t="s">
        <v>665</v>
      </c>
      <c r="C320" s="171" t="s">
        <v>798</v>
      </c>
      <c r="D320" s="172" t="s">
        <v>882</v>
      </c>
      <c r="E320" s="171" t="s">
        <v>323</v>
      </c>
      <c r="F320" s="174">
        <f>Memória!B825</f>
        <v>13</v>
      </c>
      <c r="G320" s="191">
        <v>198.2</v>
      </c>
      <c r="H320" s="191">
        <f t="shared" si="68"/>
        <v>255.58</v>
      </c>
      <c r="I320" s="191">
        <f t="shared" si="69"/>
        <v>3322.54</v>
      </c>
    </row>
    <row r="321" spans="1:9" ht="62.5" x14ac:dyDescent="0.25">
      <c r="A321" s="171" t="s">
        <v>519</v>
      </c>
      <c r="B321" s="171" t="s">
        <v>666</v>
      </c>
      <c r="C321" s="171" t="s">
        <v>798</v>
      </c>
      <c r="D321" s="172" t="s">
        <v>883</v>
      </c>
      <c r="E321" s="171" t="s">
        <v>323</v>
      </c>
      <c r="F321" s="174">
        <f>Memória!B826</f>
        <v>4</v>
      </c>
      <c r="G321" s="191">
        <v>276.05</v>
      </c>
      <c r="H321" s="191">
        <f t="shared" si="68"/>
        <v>355.97</v>
      </c>
      <c r="I321" s="191">
        <f t="shared" si="69"/>
        <v>1423.88</v>
      </c>
    </row>
    <row r="322" spans="1:9" ht="37.5" x14ac:dyDescent="0.25">
      <c r="A322" s="171" t="s">
        <v>520</v>
      </c>
      <c r="B322" s="171" t="s">
        <v>667</v>
      </c>
      <c r="C322" s="171" t="s">
        <v>798</v>
      </c>
      <c r="D322" s="172" t="s">
        <v>884</v>
      </c>
      <c r="E322" s="171" t="s">
        <v>323</v>
      </c>
      <c r="F322" s="174">
        <v>10</v>
      </c>
      <c r="G322" s="191">
        <v>79.28</v>
      </c>
      <c r="H322" s="191">
        <f t="shared" si="68"/>
        <v>102.23</v>
      </c>
      <c r="I322" s="191">
        <f t="shared" si="69"/>
        <v>1022.3</v>
      </c>
    </row>
    <row r="323" spans="1:9" s="165" customFormat="1" ht="13" x14ac:dyDescent="0.3">
      <c r="A323" s="206" t="s">
        <v>521</v>
      </c>
      <c r="B323" s="206"/>
      <c r="C323" s="206"/>
      <c r="D323" s="204" t="s">
        <v>365</v>
      </c>
      <c r="E323" s="206"/>
      <c r="F323" s="207"/>
      <c r="G323" s="208"/>
      <c r="H323" s="212"/>
      <c r="I323" s="208"/>
    </row>
    <row r="324" spans="1:9" ht="50" x14ac:dyDescent="0.25">
      <c r="A324" s="171" t="s">
        <v>522</v>
      </c>
      <c r="B324" s="171" t="s">
        <v>669</v>
      </c>
      <c r="C324" s="171" t="s">
        <v>798</v>
      </c>
      <c r="D324" s="172" t="s">
        <v>886</v>
      </c>
      <c r="E324" s="171" t="s">
        <v>323</v>
      </c>
      <c r="F324" s="174">
        <f>Memória!C834</f>
        <v>4</v>
      </c>
      <c r="G324" s="191">
        <v>527.30999999999995</v>
      </c>
      <c r="H324" s="191">
        <f t="shared" ref="H324:H331" si="70">ROUND((G324*(1+$I$5)),2)</f>
        <v>679.97</v>
      </c>
      <c r="I324" s="191">
        <f t="shared" ref="I324:I331" si="71">ROUND((H324*F324),2)</f>
        <v>2719.88</v>
      </c>
    </row>
    <row r="325" spans="1:9" ht="75" x14ac:dyDescent="0.25">
      <c r="A325" s="171" t="s">
        <v>523</v>
      </c>
      <c r="B325" s="171" t="s">
        <v>671</v>
      </c>
      <c r="C325" s="171" t="s">
        <v>798</v>
      </c>
      <c r="D325" s="172" t="s">
        <v>888</v>
      </c>
      <c r="E325" s="171" t="s">
        <v>323</v>
      </c>
      <c r="F325" s="174">
        <f>Memória!C836</f>
        <v>1</v>
      </c>
      <c r="G325" s="191">
        <v>533.6</v>
      </c>
      <c r="H325" s="191">
        <f t="shared" si="70"/>
        <v>688.08</v>
      </c>
      <c r="I325" s="191">
        <f t="shared" si="71"/>
        <v>688.08</v>
      </c>
    </row>
    <row r="326" spans="1:9" ht="75" x14ac:dyDescent="0.25">
      <c r="A326" s="171" t="s">
        <v>524</v>
      </c>
      <c r="B326" s="171" t="s">
        <v>672</v>
      </c>
      <c r="C326" s="171" t="s">
        <v>798</v>
      </c>
      <c r="D326" s="172" t="s">
        <v>889</v>
      </c>
      <c r="E326" s="171" t="s">
        <v>323</v>
      </c>
      <c r="F326" s="174">
        <f>Memória!C837</f>
        <v>9</v>
      </c>
      <c r="G326" s="191">
        <v>428.69</v>
      </c>
      <c r="H326" s="191">
        <f t="shared" si="70"/>
        <v>552.79999999999995</v>
      </c>
      <c r="I326" s="191">
        <f t="shared" si="71"/>
        <v>4975.2</v>
      </c>
    </row>
    <row r="327" spans="1:9" ht="50" x14ac:dyDescent="0.25">
      <c r="A327" s="171" t="s">
        <v>525</v>
      </c>
      <c r="B327" s="171" t="s">
        <v>673</v>
      </c>
      <c r="C327" s="171" t="s">
        <v>798</v>
      </c>
      <c r="D327" s="172" t="s">
        <v>890</v>
      </c>
      <c r="E327" s="171" t="s">
        <v>323</v>
      </c>
      <c r="F327" s="174">
        <f>Memória!C838</f>
        <v>7</v>
      </c>
      <c r="G327" s="191">
        <v>387.7</v>
      </c>
      <c r="H327" s="191">
        <f t="shared" si="70"/>
        <v>499.94</v>
      </c>
      <c r="I327" s="191">
        <f t="shared" si="71"/>
        <v>3499.58</v>
      </c>
    </row>
    <row r="328" spans="1:9" ht="62.5" x14ac:dyDescent="0.25">
      <c r="A328" s="171" t="s">
        <v>526</v>
      </c>
      <c r="B328" s="171" t="s">
        <v>675</v>
      </c>
      <c r="C328" s="171" t="s">
        <v>798</v>
      </c>
      <c r="D328" s="172" t="s">
        <v>892</v>
      </c>
      <c r="E328" s="171" t="s">
        <v>323</v>
      </c>
      <c r="F328" s="174">
        <f>Memória!C840</f>
        <v>3</v>
      </c>
      <c r="G328" s="191">
        <v>1053.55</v>
      </c>
      <c r="H328" s="191">
        <f t="shared" si="70"/>
        <v>1358.55</v>
      </c>
      <c r="I328" s="191">
        <f t="shared" si="71"/>
        <v>4075.65</v>
      </c>
    </row>
    <row r="329" spans="1:9" ht="37.5" x14ac:dyDescent="0.25">
      <c r="A329" s="171" t="s">
        <v>527</v>
      </c>
      <c r="B329" s="171" t="s">
        <v>676</v>
      </c>
      <c r="C329" s="171" t="s">
        <v>798</v>
      </c>
      <c r="D329" s="172" t="s">
        <v>893</v>
      </c>
      <c r="E329" s="171" t="s">
        <v>323</v>
      </c>
      <c r="F329" s="174">
        <f>Memória!C841</f>
        <v>3</v>
      </c>
      <c r="G329" s="191">
        <v>366.15</v>
      </c>
      <c r="H329" s="191">
        <f t="shared" si="70"/>
        <v>472.15</v>
      </c>
      <c r="I329" s="191">
        <f t="shared" si="71"/>
        <v>1416.45</v>
      </c>
    </row>
    <row r="330" spans="1:9" ht="62.5" x14ac:dyDescent="0.25">
      <c r="A330" s="171" t="s">
        <v>528</v>
      </c>
      <c r="B330" s="171" t="s">
        <v>677</v>
      </c>
      <c r="C330" s="171" t="s">
        <v>798</v>
      </c>
      <c r="D330" s="172" t="s">
        <v>894</v>
      </c>
      <c r="E330" s="171" t="s">
        <v>323</v>
      </c>
      <c r="F330" s="174">
        <f>Memória!C842</f>
        <v>17</v>
      </c>
      <c r="G330" s="191">
        <v>106.09</v>
      </c>
      <c r="H330" s="191">
        <f t="shared" si="70"/>
        <v>136.80000000000001</v>
      </c>
      <c r="I330" s="191">
        <f t="shared" si="71"/>
        <v>2325.6</v>
      </c>
    </row>
    <row r="331" spans="1:9" x14ac:dyDescent="0.25">
      <c r="A331" s="171" t="s">
        <v>529</v>
      </c>
      <c r="B331" s="171" t="s">
        <v>681</v>
      </c>
      <c r="C331" s="171" t="s">
        <v>798</v>
      </c>
      <c r="D331" s="172" t="s">
        <v>896</v>
      </c>
      <c r="E331" s="171" t="s">
        <v>323</v>
      </c>
      <c r="F331" s="174">
        <f>Memória!C844</f>
        <v>2</v>
      </c>
      <c r="G331" s="191">
        <v>1156.1400000000001</v>
      </c>
      <c r="H331" s="191">
        <f t="shared" si="70"/>
        <v>1490.84</v>
      </c>
      <c r="I331" s="191">
        <f t="shared" si="71"/>
        <v>2981.68</v>
      </c>
    </row>
    <row r="332" spans="1:9" s="165" customFormat="1" ht="13" x14ac:dyDescent="0.3">
      <c r="A332" s="206" t="s">
        <v>530</v>
      </c>
      <c r="B332" s="206"/>
      <c r="C332" s="206"/>
      <c r="D332" s="204" t="s">
        <v>371</v>
      </c>
      <c r="E332" s="206"/>
      <c r="F332" s="207"/>
      <c r="G332" s="208"/>
      <c r="H332" s="212"/>
      <c r="I332" s="208"/>
    </row>
    <row r="333" spans="1:9" ht="25" x14ac:dyDescent="0.25">
      <c r="A333" s="171" t="s">
        <v>531</v>
      </c>
      <c r="B333" s="171" t="s">
        <v>690</v>
      </c>
      <c r="C333" s="171" t="s">
        <v>798</v>
      </c>
      <c r="D333" s="172" t="s">
        <v>905</v>
      </c>
      <c r="E333" s="171" t="s">
        <v>323</v>
      </c>
      <c r="F333" s="174">
        <v>1</v>
      </c>
      <c r="G333" s="191">
        <v>200.54</v>
      </c>
      <c r="H333" s="191">
        <f>ROUND((G333*(1+$I$5)),2)</f>
        <v>258.60000000000002</v>
      </c>
      <c r="I333" s="191">
        <f t="shared" ref="I333:I354" si="72">ROUND((H333*F333),2)</f>
        <v>258.60000000000002</v>
      </c>
    </row>
    <row r="334" spans="1:9" ht="37.5" x14ac:dyDescent="0.25">
      <c r="A334" s="171" t="s">
        <v>532</v>
      </c>
      <c r="B334" s="171" t="s">
        <v>1330</v>
      </c>
      <c r="C334" s="171" t="s">
        <v>798</v>
      </c>
      <c r="D334" s="172" t="s">
        <v>1343</v>
      </c>
      <c r="E334" s="171" t="s">
        <v>323</v>
      </c>
      <c r="F334" s="186">
        <v>2</v>
      </c>
      <c r="G334" s="191">
        <v>310.13</v>
      </c>
      <c r="H334" s="191">
        <f>ROUND((G334*(1+$I$5)),2)</f>
        <v>399.91</v>
      </c>
      <c r="I334" s="191">
        <f t="shared" si="72"/>
        <v>799.82</v>
      </c>
    </row>
    <row r="335" spans="1:9" ht="37.5" x14ac:dyDescent="0.25">
      <c r="A335" s="171" t="s">
        <v>533</v>
      </c>
      <c r="B335" s="171" t="s">
        <v>1332</v>
      </c>
      <c r="C335" s="171" t="s">
        <v>798</v>
      </c>
      <c r="D335" s="172" t="s">
        <v>1331</v>
      </c>
      <c r="E335" s="171" t="s">
        <v>323</v>
      </c>
      <c r="F335" s="174">
        <v>1</v>
      </c>
      <c r="G335" s="191">
        <v>67</v>
      </c>
      <c r="H335" s="191">
        <f>ROUND((G335*(1+$I$5)),2)</f>
        <v>86.4</v>
      </c>
      <c r="I335" s="191">
        <f t="shared" si="72"/>
        <v>86.4</v>
      </c>
    </row>
    <row r="336" spans="1:9" ht="25" x14ac:dyDescent="0.25">
      <c r="A336" s="171" t="s">
        <v>534</v>
      </c>
      <c r="B336" s="172" t="s">
        <v>1333</v>
      </c>
      <c r="C336" s="171" t="s">
        <v>798</v>
      </c>
      <c r="D336" s="172" t="s">
        <v>1344</v>
      </c>
      <c r="E336" s="171" t="s">
        <v>323</v>
      </c>
      <c r="F336" s="174">
        <v>4</v>
      </c>
      <c r="G336" s="191">
        <v>14.36</v>
      </c>
      <c r="H336" s="191">
        <f t="shared" ref="H336:H340" si="73">ROUND((G336*(1+$I$5)),2)</f>
        <v>18.52</v>
      </c>
      <c r="I336" s="191">
        <f t="shared" si="72"/>
        <v>74.08</v>
      </c>
    </row>
    <row r="337" spans="1:9" ht="25" x14ac:dyDescent="0.25">
      <c r="A337" s="171" t="s">
        <v>535</v>
      </c>
      <c r="B337" s="172" t="s">
        <v>1334</v>
      </c>
      <c r="C337" s="171" t="s">
        <v>798</v>
      </c>
      <c r="D337" s="172" t="s">
        <v>1345</v>
      </c>
      <c r="E337" s="171" t="s">
        <v>323</v>
      </c>
      <c r="F337" s="174">
        <v>4</v>
      </c>
      <c r="G337" s="191">
        <v>14.38</v>
      </c>
      <c r="H337" s="191">
        <f t="shared" si="73"/>
        <v>18.54</v>
      </c>
      <c r="I337" s="191">
        <f t="shared" si="72"/>
        <v>74.16</v>
      </c>
    </row>
    <row r="338" spans="1:9" ht="25" x14ac:dyDescent="0.25">
      <c r="A338" s="171" t="s">
        <v>536</v>
      </c>
      <c r="B338" s="172" t="s">
        <v>1335</v>
      </c>
      <c r="C338" s="171" t="s">
        <v>798</v>
      </c>
      <c r="D338" s="172" t="s">
        <v>1346</v>
      </c>
      <c r="E338" s="171" t="s">
        <v>323</v>
      </c>
      <c r="F338" s="174">
        <v>4</v>
      </c>
      <c r="G338" s="191">
        <v>14.29</v>
      </c>
      <c r="H338" s="191">
        <f t="shared" si="73"/>
        <v>18.43</v>
      </c>
      <c r="I338" s="191">
        <f t="shared" si="72"/>
        <v>73.72</v>
      </c>
    </row>
    <row r="339" spans="1:9" ht="25" x14ac:dyDescent="0.25">
      <c r="A339" s="171" t="s">
        <v>537</v>
      </c>
      <c r="B339" s="172" t="s">
        <v>1336</v>
      </c>
      <c r="C339" s="171" t="s">
        <v>798</v>
      </c>
      <c r="D339" s="172" t="s">
        <v>1347</v>
      </c>
      <c r="E339" s="171" t="s">
        <v>323</v>
      </c>
      <c r="F339" s="174">
        <v>1</v>
      </c>
      <c r="G339" s="191">
        <v>14.49</v>
      </c>
      <c r="H339" s="191">
        <f t="shared" si="73"/>
        <v>18.68</v>
      </c>
      <c r="I339" s="191">
        <f t="shared" si="72"/>
        <v>18.68</v>
      </c>
    </row>
    <row r="340" spans="1:9" ht="37.5" x14ac:dyDescent="0.25">
      <c r="A340" s="171" t="s">
        <v>538</v>
      </c>
      <c r="B340" s="172" t="s">
        <v>1352</v>
      </c>
      <c r="C340" s="171" t="s">
        <v>798</v>
      </c>
      <c r="D340" s="172" t="s">
        <v>1353</v>
      </c>
      <c r="E340" s="171" t="s">
        <v>335</v>
      </c>
      <c r="F340" s="174">
        <f>949.25-620</f>
        <v>329.25</v>
      </c>
      <c r="G340" s="191">
        <v>3.16</v>
      </c>
      <c r="H340" s="191">
        <f t="shared" si="73"/>
        <v>4.07</v>
      </c>
      <c r="I340" s="191"/>
    </row>
    <row r="341" spans="1:9" ht="37.5" x14ac:dyDescent="0.25">
      <c r="A341" s="171" t="s">
        <v>539</v>
      </c>
      <c r="B341" s="171" t="s">
        <v>692</v>
      </c>
      <c r="C341" s="171" t="s">
        <v>798</v>
      </c>
      <c r="D341" s="172" t="s">
        <v>907</v>
      </c>
      <c r="E341" s="171" t="s">
        <v>335</v>
      </c>
      <c r="F341" s="174">
        <f>2330-1300</f>
        <v>1030</v>
      </c>
      <c r="G341" s="191">
        <v>3.74</v>
      </c>
      <c r="H341" s="191">
        <f t="shared" ref="H341:H354" si="74">ROUND((G341*(1+$I$5)),2)</f>
        <v>4.82</v>
      </c>
      <c r="I341" s="191">
        <f t="shared" si="72"/>
        <v>4964.6000000000004</v>
      </c>
    </row>
    <row r="342" spans="1:9" ht="37.5" x14ac:dyDescent="0.25">
      <c r="A342" s="171" t="s">
        <v>540</v>
      </c>
      <c r="B342" s="171" t="s">
        <v>693</v>
      </c>
      <c r="C342" s="171" t="s">
        <v>798</v>
      </c>
      <c r="D342" s="172" t="s">
        <v>908</v>
      </c>
      <c r="E342" s="171" t="s">
        <v>335</v>
      </c>
      <c r="F342" s="174">
        <f>423.13-280</f>
        <v>143.13</v>
      </c>
      <c r="G342" s="191">
        <v>5.51</v>
      </c>
      <c r="H342" s="191">
        <f t="shared" si="74"/>
        <v>7.11</v>
      </c>
      <c r="I342" s="191">
        <f t="shared" si="72"/>
        <v>1017.65</v>
      </c>
    </row>
    <row r="343" spans="1:9" ht="37.5" x14ac:dyDescent="0.25">
      <c r="A343" s="171" t="s">
        <v>541</v>
      </c>
      <c r="B343" s="171" t="s">
        <v>694</v>
      </c>
      <c r="C343" s="171" t="s">
        <v>798</v>
      </c>
      <c r="D343" s="172" t="s">
        <v>909</v>
      </c>
      <c r="E343" s="171" t="s">
        <v>335</v>
      </c>
      <c r="F343" s="174">
        <f>2397.81-1800</f>
        <v>597.80999999999995</v>
      </c>
      <c r="G343" s="191">
        <v>7.49</v>
      </c>
      <c r="H343" s="191">
        <f t="shared" si="74"/>
        <v>9.66</v>
      </c>
      <c r="I343" s="191">
        <f t="shared" si="72"/>
        <v>5774.84</v>
      </c>
    </row>
    <row r="344" spans="1:9" ht="37.5" x14ac:dyDescent="0.25">
      <c r="A344" s="171" t="s">
        <v>542</v>
      </c>
      <c r="B344" s="171" t="s">
        <v>695</v>
      </c>
      <c r="C344" s="171" t="s">
        <v>798</v>
      </c>
      <c r="D344" s="172" t="s">
        <v>910</v>
      </c>
      <c r="E344" s="171" t="s">
        <v>335</v>
      </c>
      <c r="F344" s="174">
        <f>948.49-600</f>
        <v>348.49</v>
      </c>
      <c r="G344" s="191">
        <v>13.11</v>
      </c>
      <c r="H344" s="191">
        <f t="shared" si="74"/>
        <v>16.91</v>
      </c>
      <c r="I344" s="191">
        <f t="shared" si="72"/>
        <v>5892.97</v>
      </c>
    </row>
    <row r="345" spans="1:9" ht="25" x14ac:dyDescent="0.25">
      <c r="A345" s="171" t="s">
        <v>543</v>
      </c>
      <c r="B345" s="171" t="s">
        <v>696</v>
      </c>
      <c r="C345" s="171" t="s">
        <v>798</v>
      </c>
      <c r="D345" s="172" t="s">
        <v>911</v>
      </c>
      <c r="E345" s="171" t="s">
        <v>335</v>
      </c>
      <c r="F345" s="174">
        <v>20</v>
      </c>
      <c r="G345" s="191">
        <v>4.5199999999999996</v>
      </c>
      <c r="H345" s="191">
        <f t="shared" si="74"/>
        <v>5.83</v>
      </c>
      <c r="I345" s="191">
        <f t="shared" si="72"/>
        <v>116.6</v>
      </c>
    </row>
    <row r="346" spans="1:9" ht="25" x14ac:dyDescent="0.25">
      <c r="A346" s="171" t="s">
        <v>544</v>
      </c>
      <c r="B346" s="171" t="s">
        <v>697</v>
      </c>
      <c r="C346" s="171" t="s">
        <v>798</v>
      </c>
      <c r="D346" s="172" t="s">
        <v>912</v>
      </c>
      <c r="E346" s="171" t="s">
        <v>335</v>
      </c>
      <c r="F346" s="174">
        <v>10</v>
      </c>
      <c r="G346" s="191">
        <v>6.49</v>
      </c>
      <c r="H346" s="191">
        <f t="shared" si="74"/>
        <v>8.3699999999999992</v>
      </c>
      <c r="I346" s="191">
        <f t="shared" si="72"/>
        <v>83.7</v>
      </c>
    </row>
    <row r="347" spans="1:9" ht="112.5" x14ac:dyDescent="0.25">
      <c r="A347" s="171" t="s">
        <v>545</v>
      </c>
      <c r="B347" s="171" t="s">
        <v>698</v>
      </c>
      <c r="C347" s="171" t="s">
        <v>798</v>
      </c>
      <c r="D347" s="172" t="s">
        <v>913</v>
      </c>
      <c r="E347" s="171" t="s">
        <v>323</v>
      </c>
      <c r="F347" s="174">
        <v>20</v>
      </c>
      <c r="G347" s="191">
        <v>222.07</v>
      </c>
      <c r="H347" s="191">
        <f t="shared" si="74"/>
        <v>286.36</v>
      </c>
      <c r="I347" s="191">
        <f t="shared" si="72"/>
        <v>5727.2</v>
      </c>
    </row>
    <row r="348" spans="1:9" ht="112.5" x14ac:dyDescent="0.25">
      <c r="A348" s="171" t="s">
        <v>546</v>
      </c>
      <c r="B348" s="171" t="s">
        <v>699</v>
      </c>
      <c r="C348" s="171" t="s">
        <v>798</v>
      </c>
      <c r="D348" s="172" t="s">
        <v>914</v>
      </c>
      <c r="E348" s="171" t="s">
        <v>323</v>
      </c>
      <c r="F348" s="174">
        <v>35</v>
      </c>
      <c r="G348" s="191">
        <v>133.56</v>
      </c>
      <c r="H348" s="191">
        <f t="shared" si="74"/>
        <v>172.23</v>
      </c>
      <c r="I348" s="191">
        <f t="shared" si="72"/>
        <v>6028.05</v>
      </c>
    </row>
    <row r="349" spans="1:9" ht="137.5" x14ac:dyDescent="0.25">
      <c r="A349" s="171" t="s">
        <v>547</v>
      </c>
      <c r="B349" s="171" t="s">
        <v>700</v>
      </c>
      <c r="C349" s="171" t="s">
        <v>798</v>
      </c>
      <c r="D349" s="172" t="s">
        <v>915</v>
      </c>
      <c r="E349" s="171" t="s">
        <v>323</v>
      </c>
      <c r="F349" s="174">
        <v>25</v>
      </c>
      <c r="G349" s="191">
        <v>252.88</v>
      </c>
      <c r="H349" s="191">
        <f t="shared" si="74"/>
        <v>326.08999999999997</v>
      </c>
      <c r="I349" s="191">
        <f t="shared" si="72"/>
        <v>8152.25</v>
      </c>
    </row>
    <row r="350" spans="1:9" ht="62.5" x14ac:dyDescent="0.25">
      <c r="A350" s="171" t="s">
        <v>548</v>
      </c>
      <c r="B350" s="171" t="s">
        <v>701</v>
      </c>
      <c r="C350" s="171" t="s">
        <v>798</v>
      </c>
      <c r="D350" s="172" t="s">
        <v>916</v>
      </c>
      <c r="E350" s="171" t="s">
        <v>323</v>
      </c>
      <c r="F350" s="174">
        <v>20</v>
      </c>
      <c r="G350" s="191">
        <v>222.18</v>
      </c>
      <c r="H350" s="191">
        <f t="shared" si="74"/>
        <v>286.5</v>
      </c>
      <c r="I350" s="191">
        <f t="shared" si="72"/>
        <v>5730</v>
      </c>
    </row>
    <row r="351" spans="1:9" ht="37.5" x14ac:dyDescent="0.25">
      <c r="A351" s="171" t="s">
        <v>557</v>
      </c>
      <c r="B351" s="171" t="s">
        <v>702</v>
      </c>
      <c r="C351" s="171" t="s">
        <v>798</v>
      </c>
      <c r="D351" s="172" t="s">
        <v>917</v>
      </c>
      <c r="E351" s="171" t="s">
        <v>323</v>
      </c>
      <c r="F351" s="174">
        <v>5</v>
      </c>
      <c r="G351" s="191">
        <v>77.84</v>
      </c>
      <c r="H351" s="191">
        <f t="shared" si="74"/>
        <v>100.37</v>
      </c>
      <c r="I351" s="191">
        <f t="shared" si="72"/>
        <v>501.85</v>
      </c>
    </row>
    <row r="352" spans="1:9" ht="50" x14ac:dyDescent="0.25">
      <c r="A352" s="171" t="s">
        <v>1373</v>
      </c>
      <c r="B352" s="171" t="s">
        <v>703</v>
      </c>
      <c r="C352" s="171" t="s">
        <v>798</v>
      </c>
      <c r="D352" s="172" t="s">
        <v>918</v>
      </c>
      <c r="E352" s="171" t="s">
        <v>323</v>
      </c>
      <c r="F352" s="174">
        <v>15</v>
      </c>
      <c r="G352" s="191">
        <v>161.84</v>
      </c>
      <c r="H352" s="191">
        <f t="shared" si="74"/>
        <v>208.69</v>
      </c>
      <c r="I352" s="191">
        <f t="shared" si="72"/>
        <v>3130.35</v>
      </c>
    </row>
    <row r="353" spans="1:9" ht="37.5" x14ac:dyDescent="0.25">
      <c r="A353" s="171" t="s">
        <v>1374</v>
      </c>
      <c r="B353" s="171" t="s">
        <v>704</v>
      </c>
      <c r="C353" s="171"/>
      <c r="D353" s="172" t="s">
        <v>919</v>
      </c>
      <c r="E353" s="171" t="s">
        <v>323</v>
      </c>
      <c r="F353" s="174">
        <v>10</v>
      </c>
      <c r="G353" s="191">
        <v>75.56</v>
      </c>
      <c r="H353" s="191">
        <f t="shared" si="74"/>
        <v>97.43</v>
      </c>
      <c r="I353" s="191">
        <f t="shared" si="72"/>
        <v>974.3</v>
      </c>
    </row>
    <row r="354" spans="1:9" ht="25" x14ac:dyDescent="0.25">
      <c r="A354" s="171" t="s">
        <v>1375</v>
      </c>
      <c r="B354" s="171" t="s">
        <v>705</v>
      </c>
      <c r="C354" s="171"/>
      <c r="D354" s="172" t="s">
        <v>920</v>
      </c>
      <c r="E354" s="171" t="s">
        <v>323</v>
      </c>
      <c r="F354" s="174">
        <v>15</v>
      </c>
      <c r="G354" s="191">
        <v>25.5</v>
      </c>
      <c r="H354" s="191">
        <f t="shared" si="74"/>
        <v>32.880000000000003</v>
      </c>
      <c r="I354" s="191">
        <f t="shared" si="72"/>
        <v>493.2</v>
      </c>
    </row>
    <row r="355" spans="1:9" ht="13" x14ac:dyDescent="0.3">
      <c r="A355" s="184" t="s">
        <v>548</v>
      </c>
      <c r="B355" s="171"/>
      <c r="C355" s="171"/>
      <c r="D355" s="185" t="s">
        <v>369</v>
      </c>
      <c r="E355" s="171"/>
      <c r="F355" s="174"/>
      <c r="G355" s="191"/>
      <c r="H355" s="191"/>
      <c r="I355" s="191"/>
    </row>
    <row r="356" spans="1:9" ht="25" x14ac:dyDescent="0.25">
      <c r="A356" s="171" t="s">
        <v>549</v>
      </c>
      <c r="B356" s="171" t="s">
        <v>696</v>
      </c>
      <c r="C356" s="171" t="s">
        <v>798</v>
      </c>
      <c r="D356" s="172" t="s">
        <v>911</v>
      </c>
      <c r="E356" s="171" t="s">
        <v>335</v>
      </c>
      <c r="F356" s="174">
        <v>50</v>
      </c>
      <c r="G356" s="191">
        <v>4.5199999999999996</v>
      </c>
      <c r="H356" s="191">
        <f t="shared" ref="H356:H363" si="75">ROUND((G356*(1+$I$5)),2)</f>
        <v>5.83</v>
      </c>
      <c r="I356" s="191">
        <f t="shared" ref="I356:I363" si="76">ROUND((H356*F356),2)</f>
        <v>291.5</v>
      </c>
    </row>
    <row r="357" spans="1:9" ht="25" x14ac:dyDescent="0.25">
      <c r="A357" s="171" t="s">
        <v>550</v>
      </c>
      <c r="B357" s="171" t="s">
        <v>706</v>
      </c>
      <c r="C357" s="171" t="s">
        <v>798</v>
      </c>
      <c r="D357" s="172" t="s">
        <v>921</v>
      </c>
      <c r="E357" s="171" t="s">
        <v>335</v>
      </c>
      <c r="F357" s="174">
        <v>50</v>
      </c>
      <c r="G357" s="191">
        <v>8.66</v>
      </c>
      <c r="H357" s="191">
        <f t="shared" si="75"/>
        <v>11.17</v>
      </c>
      <c r="I357" s="191">
        <f t="shared" si="76"/>
        <v>558.5</v>
      </c>
    </row>
    <row r="358" spans="1:9" x14ac:dyDescent="0.25">
      <c r="A358" s="171" t="s">
        <v>551</v>
      </c>
      <c r="B358" s="171" t="s">
        <v>707</v>
      </c>
      <c r="C358" s="171" t="s">
        <v>798</v>
      </c>
      <c r="D358" s="172" t="s">
        <v>964</v>
      </c>
      <c r="E358" s="171" t="s">
        <v>335</v>
      </c>
      <c r="F358" s="174">
        <v>50</v>
      </c>
      <c r="G358" s="191">
        <v>12.81</v>
      </c>
      <c r="H358" s="191">
        <f t="shared" si="75"/>
        <v>16.52</v>
      </c>
      <c r="I358" s="191">
        <f t="shared" si="76"/>
        <v>826</v>
      </c>
    </row>
    <row r="359" spans="1:9" ht="37.5" x14ac:dyDescent="0.25">
      <c r="A359" s="171" t="s">
        <v>552</v>
      </c>
      <c r="B359" s="171" t="s">
        <v>708</v>
      </c>
      <c r="C359" s="171" t="s">
        <v>798</v>
      </c>
      <c r="D359" s="172" t="s">
        <v>922</v>
      </c>
      <c r="E359" s="171" t="s">
        <v>323</v>
      </c>
      <c r="F359" s="174">
        <v>10</v>
      </c>
      <c r="G359" s="191">
        <v>115.02</v>
      </c>
      <c r="H359" s="191">
        <f t="shared" si="75"/>
        <v>148.32</v>
      </c>
      <c r="I359" s="191">
        <f t="shared" si="76"/>
        <v>1483.2</v>
      </c>
    </row>
    <row r="360" spans="1:9" ht="37.5" x14ac:dyDescent="0.25">
      <c r="A360" s="171" t="s">
        <v>553</v>
      </c>
      <c r="B360" s="171" t="s">
        <v>709</v>
      </c>
      <c r="C360" s="171" t="s">
        <v>798</v>
      </c>
      <c r="D360" s="172" t="s">
        <v>923</v>
      </c>
      <c r="E360" s="171" t="s">
        <v>323</v>
      </c>
      <c r="F360" s="174">
        <v>6</v>
      </c>
      <c r="G360" s="191">
        <v>32.700000000000003</v>
      </c>
      <c r="H360" s="191">
        <f t="shared" si="75"/>
        <v>42.17</v>
      </c>
      <c r="I360" s="191">
        <f t="shared" si="76"/>
        <v>253.02</v>
      </c>
    </row>
    <row r="361" spans="1:9" ht="37.5" x14ac:dyDescent="0.25">
      <c r="A361" s="171" t="s">
        <v>554</v>
      </c>
      <c r="B361" s="171" t="s">
        <v>710</v>
      </c>
      <c r="C361" s="171" t="s">
        <v>798</v>
      </c>
      <c r="D361" s="172" t="s">
        <v>924</v>
      </c>
      <c r="E361" s="171" t="s">
        <v>323</v>
      </c>
      <c r="F361" s="174">
        <v>2</v>
      </c>
      <c r="G361" s="191">
        <v>57.42</v>
      </c>
      <c r="H361" s="191">
        <f t="shared" si="75"/>
        <v>74.040000000000006</v>
      </c>
      <c r="I361" s="191">
        <f t="shared" si="76"/>
        <v>148.08000000000001</v>
      </c>
    </row>
    <row r="362" spans="1:9" ht="25" x14ac:dyDescent="0.25">
      <c r="A362" s="171" t="s">
        <v>555</v>
      </c>
      <c r="B362" s="171" t="s">
        <v>711</v>
      </c>
      <c r="C362" s="171" t="s">
        <v>798</v>
      </c>
      <c r="D362" s="172" t="s">
        <v>925</v>
      </c>
      <c r="E362" s="171" t="s">
        <v>323</v>
      </c>
      <c r="F362" s="174">
        <v>10</v>
      </c>
      <c r="G362" s="191">
        <v>15.72</v>
      </c>
      <c r="H362" s="191">
        <f t="shared" si="75"/>
        <v>20.27</v>
      </c>
      <c r="I362" s="191">
        <f t="shared" si="76"/>
        <v>202.7</v>
      </c>
    </row>
    <row r="363" spans="1:9" ht="37.5" x14ac:dyDescent="0.25">
      <c r="A363" s="171" t="s">
        <v>556</v>
      </c>
      <c r="B363" s="171" t="s">
        <v>712</v>
      </c>
      <c r="C363" s="171" t="s">
        <v>798</v>
      </c>
      <c r="D363" s="172" t="s">
        <v>926</v>
      </c>
      <c r="E363" s="171" t="s">
        <v>335</v>
      </c>
      <c r="F363" s="174">
        <v>4</v>
      </c>
      <c r="G363" s="191">
        <v>6.39</v>
      </c>
      <c r="H363" s="191">
        <f t="shared" si="75"/>
        <v>8.24</v>
      </c>
      <c r="I363" s="191">
        <f t="shared" si="76"/>
        <v>32.96</v>
      </c>
    </row>
    <row r="364" spans="1:9" ht="13" x14ac:dyDescent="0.3">
      <c r="A364" s="184" t="s">
        <v>557</v>
      </c>
      <c r="B364" s="171"/>
      <c r="C364" s="171"/>
      <c r="D364" s="185" t="s">
        <v>370</v>
      </c>
      <c r="E364" s="171"/>
      <c r="F364" s="174"/>
      <c r="G364" s="191"/>
      <c r="H364" s="191"/>
      <c r="I364" s="191"/>
    </row>
    <row r="365" spans="1:9" ht="37.5" x14ac:dyDescent="0.25">
      <c r="A365" s="171" t="s">
        <v>558</v>
      </c>
      <c r="B365" s="171" t="s">
        <v>713</v>
      </c>
      <c r="C365" s="171" t="s">
        <v>798</v>
      </c>
      <c r="D365" s="172" t="s">
        <v>927</v>
      </c>
      <c r="E365" s="171" t="s">
        <v>323</v>
      </c>
      <c r="F365" s="174">
        <v>6</v>
      </c>
      <c r="G365" s="191">
        <v>205.5</v>
      </c>
      <c r="H365" s="191">
        <f>ROUND((G365*(1+$I$5)),2)</f>
        <v>264.99</v>
      </c>
      <c r="I365" s="191">
        <f t="shared" ref="I365:I369" si="77">ROUND((H365*F365),2)</f>
        <v>1589.94</v>
      </c>
    </row>
    <row r="366" spans="1:9" ht="37.5" x14ac:dyDescent="0.25">
      <c r="A366" s="171" t="s">
        <v>559</v>
      </c>
      <c r="B366" s="171" t="s">
        <v>714</v>
      </c>
      <c r="C366" s="171" t="s">
        <v>798</v>
      </c>
      <c r="D366" s="172" t="s">
        <v>928</v>
      </c>
      <c r="E366" s="171" t="s">
        <v>323</v>
      </c>
      <c r="F366" s="174">
        <v>6</v>
      </c>
      <c r="G366" s="191">
        <v>130.47</v>
      </c>
      <c r="H366" s="191">
        <f>ROUND((G366*(1+$I$5)),2)</f>
        <v>168.24</v>
      </c>
      <c r="I366" s="191">
        <f t="shared" si="77"/>
        <v>1009.44</v>
      </c>
    </row>
    <row r="367" spans="1:9" ht="37.5" x14ac:dyDescent="0.25">
      <c r="A367" s="171" t="s">
        <v>560</v>
      </c>
      <c r="B367" s="171" t="s">
        <v>715</v>
      </c>
      <c r="C367" s="171" t="s">
        <v>798</v>
      </c>
      <c r="D367" s="172" t="s">
        <v>929</v>
      </c>
      <c r="E367" s="171" t="s">
        <v>323</v>
      </c>
      <c r="F367" s="186">
        <v>1</v>
      </c>
      <c r="G367" s="194">
        <v>207.1</v>
      </c>
      <c r="H367" s="191">
        <f>ROUND((G367*(1+$I$5)),2)</f>
        <v>267.06</v>
      </c>
      <c r="I367" s="191">
        <f t="shared" si="77"/>
        <v>267.06</v>
      </c>
    </row>
    <row r="368" spans="1:9" x14ac:dyDescent="0.25">
      <c r="A368" s="171" t="s">
        <v>561</v>
      </c>
      <c r="B368" s="171" t="s">
        <v>716</v>
      </c>
      <c r="C368" s="171" t="s">
        <v>798</v>
      </c>
      <c r="D368" s="172" t="s">
        <v>963</v>
      </c>
      <c r="E368" s="171" t="s">
        <v>323</v>
      </c>
      <c r="F368" s="174">
        <v>75</v>
      </c>
      <c r="G368" s="191">
        <v>20.86</v>
      </c>
      <c r="H368" s="191">
        <f>ROUND((G368*(1+$I$5)),2)</f>
        <v>26.9</v>
      </c>
      <c r="I368" s="191">
        <f t="shared" si="77"/>
        <v>2017.5</v>
      </c>
    </row>
    <row r="369" spans="1:9" ht="37.5" x14ac:dyDescent="0.25">
      <c r="A369" s="171" t="s">
        <v>562</v>
      </c>
      <c r="B369" s="171" t="s">
        <v>717</v>
      </c>
      <c r="C369" s="171" t="s">
        <v>798</v>
      </c>
      <c r="D369" s="172" t="s">
        <v>931</v>
      </c>
      <c r="E369" s="171" t="s">
        <v>335</v>
      </c>
      <c r="F369" s="174">
        <v>100</v>
      </c>
      <c r="G369" s="191">
        <v>27.43</v>
      </c>
      <c r="H369" s="191">
        <f>ROUND((G369*(1+$I$5)),2)</f>
        <v>35.369999999999997</v>
      </c>
      <c r="I369" s="191">
        <f t="shared" si="77"/>
        <v>3537</v>
      </c>
    </row>
    <row r="370" spans="1:9" ht="13" x14ac:dyDescent="0.3">
      <c r="A370" s="209" t="s">
        <v>563</v>
      </c>
      <c r="B370" s="209"/>
      <c r="C370" s="209"/>
      <c r="D370" s="169" t="s">
        <v>564</v>
      </c>
      <c r="E370" s="209"/>
      <c r="F370" s="210"/>
      <c r="G370" s="211"/>
      <c r="H370" s="213"/>
      <c r="I370" s="211">
        <f>SUM(I371:I407)</f>
        <v>344463.02999999991</v>
      </c>
    </row>
    <row r="371" spans="1:9" s="165" customFormat="1" ht="13" x14ac:dyDescent="0.3">
      <c r="A371" s="206" t="s">
        <v>761</v>
      </c>
      <c r="B371" s="206"/>
      <c r="C371" s="206"/>
      <c r="D371" s="204" t="s">
        <v>566</v>
      </c>
      <c r="E371" s="206"/>
      <c r="F371" s="207"/>
      <c r="G371" s="208"/>
      <c r="H371" s="212"/>
      <c r="I371" s="208"/>
    </row>
    <row r="372" spans="1:9" ht="37.5" x14ac:dyDescent="0.25">
      <c r="A372" s="171" t="s">
        <v>762</v>
      </c>
      <c r="B372" s="176" t="s">
        <v>1053</v>
      </c>
      <c r="C372" s="176" t="s">
        <v>1053</v>
      </c>
      <c r="D372" s="177" t="s">
        <v>1052</v>
      </c>
      <c r="E372" s="171" t="s">
        <v>331</v>
      </c>
      <c r="F372" s="174">
        <f>Memória!C883</f>
        <v>400</v>
      </c>
      <c r="G372" s="194">
        <f>CPU!H29</f>
        <v>41.517000000000003</v>
      </c>
      <c r="H372" s="191">
        <f>ROUND((G372*(1+$I$5)),2)</f>
        <v>53.54</v>
      </c>
      <c r="I372" s="191">
        <f t="shared" ref="I372:I374" si="78">ROUND((H372*F372),2)</f>
        <v>21416</v>
      </c>
    </row>
    <row r="373" spans="1:9" ht="37.5" x14ac:dyDescent="0.25">
      <c r="A373" s="171" t="s">
        <v>763</v>
      </c>
      <c r="B373" s="171" t="s">
        <v>721</v>
      </c>
      <c r="C373" s="171" t="s">
        <v>798</v>
      </c>
      <c r="D373" s="172" t="s">
        <v>935</v>
      </c>
      <c r="E373" s="171" t="s">
        <v>331</v>
      </c>
      <c r="F373" s="174">
        <f>Memória!C884</f>
        <v>400</v>
      </c>
      <c r="G373" s="191">
        <v>9.09</v>
      </c>
      <c r="H373" s="191">
        <f>ROUND((G373*(1+$I$5)),2)</f>
        <v>11.72</v>
      </c>
      <c r="I373" s="191">
        <f t="shared" si="78"/>
        <v>4688</v>
      </c>
    </row>
    <row r="374" spans="1:9" ht="37.5" x14ac:dyDescent="0.25">
      <c r="A374" s="171" t="s">
        <v>764</v>
      </c>
      <c r="B374" s="171" t="s">
        <v>745</v>
      </c>
      <c r="C374" s="171" t="s">
        <v>798</v>
      </c>
      <c r="D374" s="172" t="s">
        <v>962</v>
      </c>
      <c r="E374" s="171" t="s">
        <v>323</v>
      </c>
      <c r="F374" s="174">
        <v>30</v>
      </c>
      <c r="G374" s="191">
        <v>55.62</v>
      </c>
      <c r="H374" s="191">
        <f>ROUND((G374*(1+$I$5)),2)</f>
        <v>71.72</v>
      </c>
      <c r="I374" s="191">
        <f t="shared" si="78"/>
        <v>2151.6</v>
      </c>
    </row>
    <row r="375" spans="1:9" s="165" customFormat="1" ht="13" x14ac:dyDescent="0.3">
      <c r="A375" s="206" t="s">
        <v>765</v>
      </c>
      <c r="B375" s="206"/>
      <c r="C375" s="206"/>
      <c r="D375" s="204" t="s">
        <v>565</v>
      </c>
      <c r="E375" s="206"/>
      <c r="F375" s="207"/>
      <c r="G375" s="208"/>
      <c r="H375" s="212"/>
      <c r="I375" s="208"/>
    </row>
    <row r="376" spans="1:9" ht="25" x14ac:dyDescent="0.25">
      <c r="A376" s="171" t="s">
        <v>766</v>
      </c>
      <c r="B376" s="171" t="s">
        <v>746</v>
      </c>
      <c r="C376" s="171" t="s">
        <v>798</v>
      </c>
      <c r="D376" s="172" t="s">
        <v>956</v>
      </c>
      <c r="E376" s="171" t="s">
        <v>333</v>
      </c>
      <c r="F376" s="186">
        <f>Memória!C894*0.2</f>
        <v>5.9200000000000008</v>
      </c>
      <c r="G376" s="194">
        <v>777.82</v>
      </c>
      <c r="H376" s="194">
        <f t="shared" ref="H376:H381" si="79">ROUND((G376*(1+$I$5)),2)</f>
        <v>1003</v>
      </c>
      <c r="I376" s="194">
        <f t="shared" ref="I376:I381" si="80">ROUND((H376*F376),2)</f>
        <v>5937.76</v>
      </c>
    </row>
    <row r="377" spans="1:9" ht="25" x14ac:dyDescent="0.25">
      <c r="A377" s="171" t="s">
        <v>767</v>
      </c>
      <c r="B377" s="171" t="s">
        <v>747</v>
      </c>
      <c r="C377" s="171" t="s">
        <v>798</v>
      </c>
      <c r="D377" s="172" t="s">
        <v>957</v>
      </c>
      <c r="E377" s="171" t="s">
        <v>333</v>
      </c>
      <c r="F377" s="174">
        <f>Memória!B897</f>
        <v>44.400000000000006</v>
      </c>
      <c r="G377" s="191">
        <v>41.04</v>
      </c>
      <c r="H377" s="191">
        <f t="shared" si="79"/>
        <v>52.92</v>
      </c>
      <c r="I377" s="191">
        <f t="shared" si="80"/>
        <v>2349.65</v>
      </c>
    </row>
    <row r="378" spans="1:9" ht="25" x14ac:dyDescent="0.25">
      <c r="A378" s="171" t="s">
        <v>768</v>
      </c>
      <c r="B378" s="171" t="s">
        <v>748</v>
      </c>
      <c r="C378" s="171" t="s">
        <v>798</v>
      </c>
      <c r="D378" s="172" t="s">
        <v>958</v>
      </c>
      <c r="E378" s="171" t="s">
        <v>333</v>
      </c>
      <c r="F378" s="174">
        <f>Memória!B898</f>
        <v>75</v>
      </c>
      <c r="G378" s="191">
        <v>535.89</v>
      </c>
      <c r="H378" s="191">
        <f t="shared" si="79"/>
        <v>691.03</v>
      </c>
      <c r="I378" s="191">
        <f t="shared" si="80"/>
        <v>51827.25</v>
      </c>
    </row>
    <row r="379" spans="1:9" ht="62.5" x14ac:dyDescent="0.25">
      <c r="A379" s="171" t="s">
        <v>769</v>
      </c>
      <c r="B379" s="171" t="s">
        <v>749</v>
      </c>
      <c r="C379" s="171" t="s">
        <v>798</v>
      </c>
      <c r="D379" s="172" t="s">
        <v>959</v>
      </c>
      <c r="E379" s="171" t="s">
        <v>331</v>
      </c>
      <c r="F379" s="174">
        <f>Memória!B900</f>
        <v>75</v>
      </c>
      <c r="G379" s="191">
        <v>128.91999999999999</v>
      </c>
      <c r="H379" s="191">
        <f t="shared" si="79"/>
        <v>166.24</v>
      </c>
      <c r="I379" s="191">
        <f t="shared" si="80"/>
        <v>12468</v>
      </c>
    </row>
    <row r="380" spans="1:9" ht="50" x14ac:dyDescent="0.25">
      <c r="A380" s="171" t="s">
        <v>770</v>
      </c>
      <c r="B380" s="171" t="s">
        <v>750</v>
      </c>
      <c r="C380" s="171" t="s">
        <v>798</v>
      </c>
      <c r="D380" s="172" t="s">
        <v>960</v>
      </c>
      <c r="E380" s="171" t="s">
        <v>335</v>
      </c>
      <c r="F380" s="174">
        <f>Memória!B901</f>
        <v>100</v>
      </c>
      <c r="G380" s="191">
        <v>659.78</v>
      </c>
      <c r="H380" s="191">
        <f t="shared" si="79"/>
        <v>850.79</v>
      </c>
      <c r="I380" s="191">
        <f t="shared" si="80"/>
        <v>85079</v>
      </c>
    </row>
    <row r="381" spans="1:9" ht="50" x14ac:dyDescent="0.25">
      <c r="A381" s="171" t="s">
        <v>771</v>
      </c>
      <c r="B381" s="171" t="s">
        <v>751</v>
      </c>
      <c r="C381" s="171" t="s">
        <v>798</v>
      </c>
      <c r="D381" s="172" t="s">
        <v>961</v>
      </c>
      <c r="E381" s="171" t="s">
        <v>335</v>
      </c>
      <c r="F381" s="174">
        <f>Memória!B902</f>
        <v>100</v>
      </c>
      <c r="G381" s="191">
        <v>117.06</v>
      </c>
      <c r="H381" s="191">
        <f t="shared" si="79"/>
        <v>150.94999999999999</v>
      </c>
      <c r="I381" s="191">
        <f t="shared" si="80"/>
        <v>15095</v>
      </c>
    </row>
    <row r="382" spans="1:9" s="165" customFormat="1" ht="13" x14ac:dyDescent="0.3">
      <c r="A382" s="206" t="s">
        <v>772</v>
      </c>
      <c r="B382" s="206"/>
      <c r="C382" s="206"/>
      <c r="D382" s="204" t="s">
        <v>567</v>
      </c>
      <c r="E382" s="206"/>
      <c r="F382" s="207"/>
      <c r="G382" s="208"/>
      <c r="H382" s="212"/>
      <c r="I382" s="208"/>
    </row>
    <row r="383" spans="1:9" x14ac:dyDescent="0.25">
      <c r="A383" s="171" t="s">
        <v>773</v>
      </c>
      <c r="B383" s="176" t="s">
        <v>1072</v>
      </c>
      <c r="C383" s="176" t="s">
        <v>1072</v>
      </c>
      <c r="D383" s="177" t="s">
        <v>1077</v>
      </c>
      <c r="E383" s="171" t="s">
        <v>331</v>
      </c>
      <c r="F383" s="174">
        <f>11*2.5</f>
        <v>27.5</v>
      </c>
      <c r="G383" s="194">
        <v>375.93</v>
      </c>
      <c r="H383" s="191">
        <f>ROUND((G383*(1+$I$5)),2)</f>
        <v>484.76</v>
      </c>
      <c r="I383" s="191">
        <f t="shared" ref="I383:I385" si="81">ROUND((H383*F383),2)</f>
        <v>13330.9</v>
      </c>
    </row>
    <row r="384" spans="1:9" ht="25" x14ac:dyDescent="0.25">
      <c r="A384" s="171" t="s">
        <v>774</v>
      </c>
      <c r="B384" s="176" t="s">
        <v>1073</v>
      </c>
      <c r="C384" s="176" t="s">
        <v>798</v>
      </c>
      <c r="D384" s="177" t="s">
        <v>1074</v>
      </c>
      <c r="E384" s="171" t="s">
        <v>331</v>
      </c>
      <c r="F384" s="174">
        <f>2.8*2</f>
        <v>5.6</v>
      </c>
      <c r="G384" s="194">
        <v>366.96</v>
      </c>
      <c r="H384" s="194">
        <f>ROUND((G384*(1+$I$5)),2)</f>
        <v>473.19</v>
      </c>
      <c r="I384" s="194">
        <f t="shared" si="81"/>
        <v>2649.86</v>
      </c>
    </row>
    <row r="385" spans="1:9" ht="25" x14ac:dyDescent="0.25">
      <c r="A385" s="171" t="s">
        <v>775</v>
      </c>
      <c r="B385" s="171" t="s">
        <v>1073</v>
      </c>
      <c r="C385" s="171" t="s">
        <v>798</v>
      </c>
      <c r="D385" s="172" t="s">
        <v>1075</v>
      </c>
      <c r="E385" s="171" t="s">
        <v>331</v>
      </c>
      <c r="F385" s="174">
        <f>1.5*2</f>
        <v>3</v>
      </c>
      <c r="G385" s="194">
        <f>G384</f>
        <v>366.96</v>
      </c>
      <c r="H385" s="194">
        <f>ROUND((G385*(1+$I$5)),2)</f>
        <v>473.19</v>
      </c>
      <c r="I385" s="194">
        <f t="shared" si="81"/>
        <v>1419.57</v>
      </c>
    </row>
    <row r="386" spans="1:9" s="165" customFormat="1" ht="13" x14ac:dyDescent="0.3">
      <c r="A386" s="206" t="s">
        <v>776</v>
      </c>
      <c r="B386" s="206"/>
      <c r="C386" s="206"/>
      <c r="D386" s="204" t="s">
        <v>569</v>
      </c>
      <c r="E386" s="206"/>
      <c r="F386" s="207"/>
      <c r="G386" s="208"/>
      <c r="H386" s="212"/>
      <c r="I386" s="208"/>
    </row>
    <row r="387" spans="1:9" x14ac:dyDescent="0.25">
      <c r="A387" s="171" t="s">
        <v>777</v>
      </c>
      <c r="B387" s="171" t="s">
        <v>752</v>
      </c>
      <c r="C387" s="171" t="s">
        <v>798</v>
      </c>
      <c r="D387" s="172" t="s">
        <v>954</v>
      </c>
      <c r="E387" s="171" t="s">
        <v>331</v>
      </c>
      <c r="F387" s="174">
        <f>Memória!C908</f>
        <v>320</v>
      </c>
      <c r="G387" s="191">
        <v>59.58</v>
      </c>
      <c r="H387" s="191">
        <f>ROUND((G387*(1+$I$5)),2)</f>
        <v>76.83</v>
      </c>
      <c r="I387" s="191">
        <f t="shared" ref="I387:I391" si="82">ROUND((H387*F387),2)</f>
        <v>24585.599999999999</v>
      </c>
    </row>
    <row r="388" spans="1:9" ht="37.5" x14ac:dyDescent="0.25">
      <c r="A388" s="171" t="s">
        <v>778</v>
      </c>
      <c r="B388" s="171" t="s">
        <v>721</v>
      </c>
      <c r="C388" s="171" t="s">
        <v>798</v>
      </c>
      <c r="D388" s="172" t="s">
        <v>935</v>
      </c>
      <c r="E388" s="171" t="s">
        <v>331</v>
      </c>
      <c r="F388" s="174">
        <f>Memória!C908</f>
        <v>320</v>
      </c>
      <c r="G388" s="191">
        <v>9.09</v>
      </c>
      <c r="H388" s="191">
        <f>ROUND((G388*(1+$I$5)),2)</f>
        <v>11.72</v>
      </c>
      <c r="I388" s="191">
        <f t="shared" si="82"/>
        <v>3750.4</v>
      </c>
    </row>
    <row r="389" spans="1:9" ht="75" x14ac:dyDescent="0.25">
      <c r="A389" s="171" t="s">
        <v>779</v>
      </c>
      <c r="B389" s="171" t="s">
        <v>1320</v>
      </c>
      <c r="C389" s="171" t="s">
        <v>798</v>
      </c>
      <c r="D389" s="172" t="s">
        <v>1321</v>
      </c>
      <c r="E389" s="171" t="s">
        <v>331</v>
      </c>
      <c r="F389" s="174">
        <f>Memória!B912</f>
        <v>400</v>
      </c>
      <c r="G389" s="191">
        <v>108.37</v>
      </c>
      <c r="H389" s="191">
        <f>ROUND((G389*(1+$I$5)),2)</f>
        <v>139.74</v>
      </c>
      <c r="I389" s="191">
        <f t="shared" si="82"/>
        <v>55896</v>
      </c>
    </row>
    <row r="390" spans="1:9" ht="25" x14ac:dyDescent="0.25">
      <c r="A390" s="171" t="s">
        <v>780</v>
      </c>
      <c r="B390" s="171" t="s">
        <v>722</v>
      </c>
      <c r="C390" s="171" t="s">
        <v>798</v>
      </c>
      <c r="D390" s="172" t="s">
        <v>936</v>
      </c>
      <c r="E390" s="171" t="s">
        <v>331</v>
      </c>
      <c r="F390" s="174">
        <f>Memória!B914</f>
        <v>100</v>
      </c>
      <c r="G390" s="191">
        <v>25.35</v>
      </c>
      <c r="H390" s="191">
        <f>ROUND((G390*(1+$I$5)),2)</f>
        <v>32.69</v>
      </c>
      <c r="I390" s="191">
        <f t="shared" si="82"/>
        <v>3269</v>
      </c>
    </row>
    <row r="391" spans="1:9" ht="75" x14ac:dyDescent="0.25">
      <c r="A391" s="171" t="s">
        <v>781</v>
      </c>
      <c r="B391" s="171" t="s">
        <v>753</v>
      </c>
      <c r="C391" s="171" t="s">
        <v>798</v>
      </c>
      <c r="D391" s="172" t="s">
        <v>955</v>
      </c>
      <c r="E391" s="171" t="s">
        <v>568</v>
      </c>
      <c r="F391" s="174">
        <f>Memória!B910</f>
        <v>76</v>
      </c>
      <c r="G391" s="191">
        <v>60.89</v>
      </c>
      <c r="H391" s="191">
        <f>ROUND((G391*(1+$I$5)),2)</f>
        <v>78.52</v>
      </c>
      <c r="I391" s="191">
        <f t="shared" si="82"/>
        <v>5967.52</v>
      </c>
    </row>
    <row r="392" spans="1:9" s="165" customFormat="1" ht="13" x14ac:dyDescent="0.3">
      <c r="A392" s="206" t="s">
        <v>782</v>
      </c>
      <c r="B392" s="206"/>
      <c r="C392" s="206"/>
      <c r="D392" s="204" t="s">
        <v>570</v>
      </c>
      <c r="E392" s="206"/>
      <c r="F392" s="207"/>
      <c r="G392" s="208"/>
      <c r="H392" s="212"/>
      <c r="I392" s="208"/>
    </row>
    <row r="393" spans="1:9" ht="25" x14ac:dyDescent="0.25">
      <c r="A393" s="171" t="s">
        <v>783</v>
      </c>
      <c r="B393" s="171" t="s">
        <v>754</v>
      </c>
      <c r="C393" s="171" t="s">
        <v>798</v>
      </c>
      <c r="D393" s="172" t="s">
        <v>950</v>
      </c>
      <c r="E393" s="171" t="s">
        <v>333</v>
      </c>
      <c r="F393" s="174">
        <f>F396*0.5*0.4</f>
        <v>14</v>
      </c>
      <c r="G393" s="191">
        <v>63.2</v>
      </c>
      <c r="H393" s="191">
        <f t="shared" ref="H393:H400" si="83">ROUND((G393*(1+$I$5)),2)</f>
        <v>81.5</v>
      </c>
      <c r="I393" s="191">
        <f t="shared" ref="I393:I400" si="84">ROUND((H393*F393),2)</f>
        <v>1141</v>
      </c>
    </row>
    <row r="394" spans="1:9" ht="25" x14ac:dyDescent="0.25">
      <c r="A394" s="171" t="s">
        <v>784</v>
      </c>
      <c r="B394" s="171" t="s">
        <v>654</v>
      </c>
      <c r="C394" s="171" t="s">
        <v>798</v>
      </c>
      <c r="D394" s="172" t="s">
        <v>871</v>
      </c>
      <c r="E394" s="171" t="s">
        <v>331</v>
      </c>
      <c r="F394" s="174">
        <f>F396*0.4</f>
        <v>28</v>
      </c>
      <c r="G394" s="191">
        <v>12.11</v>
      </c>
      <c r="H394" s="191">
        <f t="shared" si="83"/>
        <v>15.62</v>
      </c>
      <c r="I394" s="191">
        <f t="shared" si="84"/>
        <v>437.36</v>
      </c>
    </row>
    <row r="395" spans="1:9" ht="25" x14ac:dyDescent="0.25">
      <c r="A395" s="171" t="s">
        <v>785</v>
      </c>
      <c r="B395" s="171" t="s">
        <v>655</v>
      </c>
      <c r="C395" s="171" t="s">
        <v>798</v>
      </c>
      <c r="D395" s="172" t="s">
        <v>872</v>
      </c>
      <c r="E395" s="171" t="s">
        <v>333</v>
      </c>
      <c r="F395" s="174">
        <f>F393</f>
        <v>14</v>
      </c>
      <c r="G395" s="191">
        <v>45.71</v>
      </c>
      <c r="H395" s="191">
        <f t="shared" si="83"/>
        <v>58.94</v>
      </c>
      <c r="I395" s="191">
        <f t="shared" si="84"/>
        <v>825.16</v>
      </c>
    </row>
    <row r="396" spans="1:9" ht="25" x14ac:dyDescent="0.25">
      <c r="A396" s="171" t="s">
        <v>786</v>
      </c>
      <c r="B396" s="171" t="s">
        <v>687</v>
      </c>
      <c r="C396" s="171" t="s">
        <v>798</v>
      </c>
      <c r="D396" s="172" t="s">
        <v>902</v>
      </c>
      <c r="E396" s="171" t="s">
        <v>335</v>
      </c>
      <c r="F396" s="174">
        <v>70</v>
      </c>
      <c r="G396" s="191">
        <v>20.98</v>
      </c>
      <c r="H396" s="191">
        <f t="shared" si="83"/>
        <v>27.05</v>
      </c>
      <c r="I396" s="191">
        <f t="shared" si="84"/>
        <v>1893.5</v>
      </c>
    </row>
    <row r="397" spans="1:9" ht="37.5" x14ac:dyDescent="0.25">
      <c r="A397" s="171" t="s">
        <v>787</v>
      </c>
      <c r="B397" s="171" t="s">
        <v>755</v>
      </c>
      <c r="C397" s="171" t="s">
        <v>798</v>
      </c>
      <c r="D397" s="172" t="s">
        <v>951</v>
      </c>
      <c r="E397" s="171" t="s">
        <v>323</v>
      </c>
      <c r="F397" s="174">
        <v>10</v>
      </c>
      <c r="G397" s="191">
        <v>169.91</v>
      </c>
      <c r="H397" s="191">
        <f t="shared" si="83"/>
        <v>219.1</v>
      </c>
      <c r="I397" s="191">
        <f t="shared" si="84"/>
        <v>2191</v>
      </c>
    </row>
    <row r="398" spans="1:9" ht="37.5" x14ac:dyDescent="0.25">
      <c r="A398" s="171" t="s">
        <v>788</v>
      </c>
      <c r="B398" s="171" t="s">
        <v>756</v>
      </c>
      <c r="C398" s="171" t="s">
        <v>798</v>
      </c>
      <c r="D398" s="172" t="s">
        <v>952</v>
      </c>
      <c r="E398" s="171" t="s">
        <v>335</v>
      </c>
      <c r="F398" s="174">
        <v>300</v>
      </c>
      <c r="G398" s="191">
        <v>4.28</v>
      </c>
      <c r="H398" s="191">
        <f t="shared" si="83"/>
        <v>5.52</v>
      </c>
      <c r="I398" s="191">
        <f t="shared" si="84"/>
        <v>1656</v>
      </c>
    </row>
    <row r="399" spans="1:9" s="178" customFormat="1" ht="25" x14ac:dyDescent="0.25">
      <c r="A399" s="176" t="s">
        <v>789</v>
      </c>
      <c r="B399" s="176" t="s">
        <v>1063</v>
      </c>
      <c r="C399" s="176" t="s">
        <v>1063</v>
      </c>
      <c r="D399" s="177" t="s">
        <v>571</v>
      </c>
      <c r="E399" s="176" t="s">
        <v>323</v>
      </c>
      <c r="F399" s="173">
        <v>5</v>
      </c>
      <c r="G399" s="194">
        <f>CPU!H37</f>
        <v>1007.1899999999999</v>
      </c>
      <c r="H399" s="190">
        <f t="shared" si="83"/>
        <v>1298.77</v>
      </c>
      <c r="I399" s="190">
        <f t="shared" si="84"/>
        <v>6493.85</v>
      </c>
    </row>
    <row r="400" spans="1:9" ht="37.5" x14ac:dyDescent="0.25">
      <c r="A400" s="171" t="s">
        <v>790</v>
      </c>
      <c r="B400" s="171" t="s">
        <v>757</v>
      </c>
      <c r="C400" s="171" t="s">
        <v>798</v>
      </c>
      <c r="D400" s="172" t="s">
        <v>953</v>
      </c>
      <c r="E400" s="171" t="s">
        <v>323</v>
      </c>
      <c r="F400" s="174">
        <v>5</v>
      </c>
      <c r="G400" s="191">
        <v>75.56</v>
      </c>
      <c r="H400" s="191">
        <f t="shared" si="83"/>
        <v>97.43</v>
      </c>
      <c r="I400" s="191">
        <f t="shared" si="84"/>
        <v>487.15</v>
      </c>
    </row>
    <row r="401" spans="1:11" s="165" customFormat="1" ht="13" x14ac:dyDescent="0.3">
      <c r="A401" s="206" t="s">
        <v>791</v>
      </c>
      <c r="B401" s="206"/>
      <c r="C401" s="206"/>
      <c r="D401" s="204" t="s">
        <v>573</v>
      </c>
      <c r="E401" s="206"/>
      <c r="F401" s="207"/>
      <c r="G401" s="208"/>
      <c r="H401" s="212"/>
      <c r="I401" s="208"/>
    </row>
    <row r="402" spans="1:11" ht="25" x14ac:dyDescent="0.25">
      <c r="A402" s="171" t="s">
        <v>792</v>
      </c>
      <c r="B402" s="171" t="s">
        <v>598</v>
      </c>
      <c r="C402" s="171" t="s">
        <v>798</v>
      </c>
      <c r="D402" s="172" t="s">
        <v>815</v>
      </c>
      <c r="E402" s="171" t="s">
        <v>333</v>
      </c>
      <c r="F402" s="186">
        <f>F405*1.2*0.6</f>
        <v>36</v>
      </c>
      <c r="G402" s="191">
        <v>63.2</v>
      </c>
      <c r="H402" s="191">
        <f t="shared" ref="H402:H407" si="85">ROUND((G402*(1+$I$5)),2)</f>
        <v>81.5</v>
      </c>
      <c r="I402" s="191">
        <f t="shared" ref="I402:I407" si="86">ROUND((H402*F402),2)</f>
        <v>2934</v>
      </c>
    </row>
    <row r="403" spans="1:11" ht="25" x14ac:dyDescent="0.25">
      <c r="A403" s="171" t="s">
        <v>793</v>
      </c>
      <c r="B403" s="171" t="s">
        <v>654</v>
      </c>
      <c r="C403" s="171" t="s">
        <v>798</v>
      </c>
      <c r="D403" s="172" t="s">
        <v>871</v>
      </c>
      <c r="E403" s="171" t="s">
        <v>331</v>
      </c>
      <c r="F403" s="174">
        <f>F405*0.6</f>
        <v>30</v>
      </c>
      <c r="G403" s="191">
        <v>12.11</v>
      </c>
      <c r="H403" s="191">
        <f t="shared" si="85"/>
        <v>15.62</v>
      </c>
      <c r="I403" s="191">
        <f t="shared" si="86"/>
        <v>468.6</v>
      </c>
    </row>
    <row r="404" spans="1:11" ht="25" x14ac:dyDescent="0.25">
      <c r="A404" s="171" t="s">
        <v>794</v>
      </c>
      <c r="B404" s="171" t="s">
        <v>604</v>
      </c>
      <c r="C404" s="171" t="s">
        <v>798</v>
      </c>
      <c r="D404" s="172" t="s">
        <v>820</v>
      </c>
      <c r="E404" s="171" t="s">
        <v>333</v>
      </c>
      <c r="F404" s="174">
        <f>+F402*0.9</f>
        <v>32.4</v>
      </c>
      <c r="G404" s="191">
        <v>45.71</v>
      </c>
      <c r="H404" s="191">
        <f t="shared" si="85"/>
        <v>58.94</v>
      </c>
      <c r="I404" s="191">
        <f t="shared" si="86"/>
        <v>1909.66</v>
      </c>
    </row>
    <row r="405" spans="1:11" ht="37.5" x14ac:dyDescent="0.25">
      <c r="A405" s="171" t="s">
        <v>795</v>
      </c>
      <c r="B405" s="171" t="s">
        <v>758</v>
      </c>
      <c r="C405" s="171" t="s">
        <v>798</v>
      </c>
      <c r="D405" s="172" t="s">
        <v>949</v>
      </c>
      <c r="E405" s="171" t="s">
        <v>335</v>
      </c>
      <c r="F405" s="174">
        <v>50</v>
      </c>
      <c r="G405" s="191">
        <v>103.52</v>
      </c>
      <c r="H405" s="191">
        <f t="shared" si="85"/>
        <v>133.49</v>
      </c>
      <c r="I405" s="191">
        <f t="shared" si="86"/>
        <v>6674.5</v>
      </c>
    </row>
    <row r="406" spans="1:11" ht="62.5" x14ac:dyDescent="0.25">
      <c r="A406" s="171" t="s">
        <v>796</v>
      </c>
      <c r="B406" s="171" t="s">
        <v>759</v>
      </c>
      <c r="C406" s="171" t="s">
        <v>798</v>
      </c>
      <c r="D406" s="172" t="s">
        <v>948</v>
      </c>
      <c r="E406" s="171" t="s">
        <v>323</v>
      </c>
      <c r="F406" s="174">
        <v>6</v>
      </c>
      <c r="G406" s="191">
        <v>261.3</v>
      </c>
      <c r="H406" s="191">
        <f t="shared" si="85"/>
        <v>336.95</v>
      </c>
      <c r="I406" s="191">
        <f t="shared" si="86"/>
        <v>2021.7</v>
      </c>
    </row>
    <row r="407" spans="1:11" ht="62.5" x14ac:dyDescent="0.25">
      <c r="A407" s="171" t="s">
        <v>797</v>
      </c>
      <c r="B407" s="171" t="s">
        <v>760</v>
      </c>
      <c r="C407" s="171" t="s">
        <v>798</v>
      </c>
      <c r="D407" s="172" t="s">
        <v>947</v>
      </c>
      <c r="E407" s="171" t="s">
        <v>323</v>
      </c>
      <c r="F407" s="174">
        <v>6</v>
      </c>
      <c r="G407" s="191">
        <v>445.71</v>
      </c>
      <c r="H407" s="191">
        <f t="shared" si="85"/>
        <v>574.74</v>
      </c>
      <c r="I407" s="191">
        <f t="shared" si="86"/>
        <v>3448.44</v>
      </c>
    </row>
    <row r="408" spans="1:11" ht="13" x14ac:dyDescent="0.3">
      <c r="A408" s="209">
        <v>5</v>
      </c>
      <c r="B408" s="209"/>
      <c r="C408" s="209"/>
      <c r="D408" s="169" t="s">
        <v>980</v>
      </c>
      <c r="E408" s="209"/>
      <c r="F408" s="210"/>
      <c r="G408" s="211"/>
      <c r="H408" s="211"/>
      <c r="I408" s="211">
        <f>I409</f>
        <v>4203.3500000000004</v>
      </c>
    </row>
    <row r="409" spans="1:11" x14ac:dyDescent="0.25">
      <c r="A409" s="171" t="s">
        <v>981</v>
      </c>
      <c r="B409" s="171" t="s">
        <v>982</v>
      </c>
      <c r="C409" s="171"/>
      <c r="D409" s="172" t="s">
        <v>983</v>
      </c>
      <c r="E409" s="171" t="s">
        <v>331</v>
      </c>
      <c r="F409" s="174">
        <f>Memória!C282+Memória!C742</f>
        <v>466.52030000000002</v>
      </c>
      <c r="G409" s="191">
        <v>6.99</v>
      </c>
      <c r="H409" s="191">
        <f>ROUND((G409*(1+$I$5)),2)</f>
        <v>9.01</v>
      </c>
      <c r="I409" s="191">
        <f t="shared" ref="I409" si="87">ROUND((H409*F409),2)</f>
        <v>4203.3500000000004</v>
      </c>
    </row>
    <row r="410" spans="1:11" ht="13" x14ac:dyDescent="0.3">
      <c r="A410" s="230" t="s">
        <v>572</v>
      </c>
      <c r="B410" s="231"/>
      <c r="C410" s="231"/>
      <c r="D410" s="231"/>
      <c r="E410" s="231"/>
      <c r="F410" s="231"/>
      <c r="G410" s="231"/>
      <c r="H410" s="232"/>
      <c r="I410" s="211">
        <f>I408+I370+I236+I19+I9</f>
        <v>2610226.1100000003</v>
      </c>
      <c r="K410" s="175"/>
    </row>
    <row r="411" spans="1:11" x14ac:dyDescent="0.25">
      <c r="K411" s="175"/>
    </row>
    <row r="414" spans="1:11" ht="13" x14ac:dyDescent="0.3">
      <c r="D414" s="166" t="s">
        <v>1371</v>
      </c>
    </row>
    <row r="415" spans="1:11" x14ac:dyDescent="0.25">
      <c r="D415" s="168" t="s">
        <v>1372</v>
      </c>
    </row>
  </sheetData>
  <mergeCells count="8">
    <mergeCell ref="A410:H410"/>
    <mergeCell ref="A1:I1"/>
    <mergeCell ref="A2:I2"/>
    <mergeCell ref="A3:I3"/>
    <mergeCell ref="E6:F6"/>
    <mergeCell ref="E5:G5"/>
    <mergeCell ref="H5:H6"/>
    <mergeCell ref="I5:I6"/>
  </mergeCells>
  <phoneticPr fontId="4" type="noConversion"/>
  <pageMargins left="0.70866141732283472" right="0.70866141732283472" top="0.74803149606299213" bottom="0.74803149606299213" header="0.31496062992125984" footer="0.31496062992125984"/>
  <pageSetup paperSize="9" scale="44" fitToHeight="13" orientation="portrait" r:id="rId1"/>
  <headerFooter>
    <oddHeader xml:space="preserve">&amp;CReforma e Ampliação da UBS - Queluzito </oddHeader>
    <oddFooter>&amp;R&amp;P/&amp;N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D360F2-9D95-47A5-9FC5-7362388FC92A}">
  <sheetPr>
    <pageSetUpPr fitToPage="1"/>
  </sheetPr>
  <dimension ref="A1:H57"/>
  <sheetViews>
    <sheetView topLeftCell="A41" zoomScale="70" zoomScaleNormal="70" workbookViewId="0">
      <selection sqref="A1:H57"/>
    </sheetView>
  </sheetViews>
  <sheetFormatPr defaultColWidth="8.81640625" defaultRowHeight="13" x14ac:dyDescent="0.3"/>
  <cols>
    <col min="1" max="1" width="6.81640625" style="78" bestFit="1" customWidth="1"/>
    <col min="2" max="2" width="11.1796875" style="78" bestFit="1" customWidth="1"/>
    <col min="3" max="3" width="13.1796875" style="78" bestFit="1" customWidth="1"/>
    <col min="4" max="4" width="35.08984375" style="78" customWidth="1"/>
    <col min="5" max="5" width="8.81640625" style="78" bestFit="1" customWidth="1"/>
    <col min="6" max="6" width="14.54296875" style="92" bestFit="1" customWidth="1"/>
    <col min="7" max="7" width="12.81640625" style="93" bestFit="1" customWidth="1"/>
    <col min="8" max="8" width="14.54296875" style="93" bestFit="1" customWidth="1"/>
    <col min="9" max="16384" width="8.81640625" style="78"/>
  </cols>
  <sheetData>
    <row r="1" spans="1:8" s="76" customFormat="1" ht="22.75" customHeight="1" x14ac:dyDescent="0.35">
      <c r="A1" s="240" t="s">
        <v>1024</v>
      </c>
      <c r="B1" s="240"/>
      <c r="C1" s="240"/>
      <c r="D1" s="240"/>
      <c r="E1" s="240"/>
      <c r="F1" s="240"/>
      <c r="G1" s="240"/>
      <c r="H1" s="240"/>
    </row>
    <row r="2" spans="1:8" s="76" customFormat="1" ht="22.75" customHeight="1" x14ac:dyDescent="0.35">
      <c r="A2" s="241" t="str">
        <f>Orçamento202411!A3</f>
        <v>REFORMA E AMPLIAÇÃO DA UNIDADE BÁSICA DE SAÚDE</v>
      </c>
      <c r="B2" s="240"/>
      <c r="C2" s="240"/>
      <c r="D2" s="240"/>
      <c r="E2" s="240"/>
      <c r="F2" s="240"/>
      <c r="G2" s="240"/>
      <c r="H2" s="240"/>
    </row>
    <row r="3" spans="1:8" s="76" customFormat="1" ht="22.75" customHeight="1" x14ac:dyDescent="0.35">
      <c r="A3" s="240" t="s">
        <v>1025</v>
      </c>
      <c r="B3" s="240"/>
      <c r="C3" s="240"/>
      <c r="D3" s="240"/>
      <c r="E3" s="240"/>
      <c r="F3" s="240"/>
      <c r="G3" s="240"/>
      <c r="H3" s="240"/>
    </row>
    <row r="5" spans="1:8" x14ac:dyDescent="0.3">
      <c r="A5" s="77" t="s">
        <v>1026</v>
      </c>
      <c r="B5" s="237" t="s">
        <v>311</v>
      </c>
      <c r="C5" s="237"/>
      <c r="D5" s="237"/>
      <c r="E5" s="237"/>
      <c r="F5" s="237"/>
      <c r="G5" s="237"/>
      <c r="H5" s="237"/>
    </row>
    <row r="6" spans="1:8" x14ac:dyDescent="0.3">
      <c r="A6" s="77" t="s">
        <v>1006</v>
      </c>
      <c r="B6" s="77" t="s">
        <v>321</v>
      </c>
      <c r="C6" s="77" t="s">
        <v>1027</v>
      </c>
      <c r="D6" s="77" t="s">
        <v>322</v>
      </c>
      <c r="E6" s="77" t="s">
        <v>1028</v>
      </c>
      <c r="F6" s="79" t="s">
        <v>1029</v>
      </c>
      <c r="G6" s="80" t="s">
        <v>1030</v>
      </c>
      <c r="H6" s="80" t="s">
        <v>1031</v>
      </c>
    </row>
    <row r="7" spans="1:8" ht="26" x14ac:dyDescent="0.3">
      <c r="A7" s="81">
        <v>1</v>
      </c>
      <c r="B7" s="82" t="s">
        <v>798</v>
      </c>
      <c r="C7" s="81" t="s">
        <v>1032</v>
      </c>
      <c r="D7" s="83" t="s">
        <v>1033</v>
      </c>
      <c r="E7" s="81" t="s">
        <v>330</v>
      </c>
      <c r="F7" s="84">
        <v>1</v>
      </c>
      <c r="G7" s="84">
        <v>8518.0499999999993</v>
      </c>
      <c r="H7" s="85">
        <f>F7*G7</f>
        <v>8518.0499999999993</v>
      </c>
    </row>
    <row r="8" spans="1:8" ht="39" x14ac:dyDescent="0.3">
      <c r="A8" s="81">
        <v>2</v>
      </c>
      <c r="B8" s="82" t="s">
        <v>798</v>
      </c>
      <c r="C8" s="81" t="s">
        <v>1034</v>
      </c>
      <c r="D8" s="83" t="s">
        <v>1035</v>
      </c>
      <c r="E8" s="81" t="s">
        <v>1036</v>
      </c>
      <c r="F8" s="86">
        <v>16</v>
      </c>
      <c r="G8" s="81">
        <v>117.89</v>
      </c>
      <c r="H8" s="85">
        <f>F8*G8</f>
        <v>1886.24</v>
      </c>
    </row>
    <row r="9" spans="1:8" x14ac:dyDescent="0.3">
      <c r="A9" s="238" t="s">
        <v>1060</v>
      </c>
      <c r="B9" s="238"/>
      <c r="C9" s="238"/>
      <c r="D9" s="238"/>
      <c r="E9" s="238"/>
      <c r="F9" s="238"/>
      <c r="G9" s="238"/>
      <c r="H9" s="87">
        <f>H7+H8</f>
        <v>10404.289999999999</v>
      </c>
    </row>
    <row r="11" spans="1:8" ht="30.65" customHeight="1" x14ac:dyDescent="0.3">
      <c r="A11" s="77" t="s">
        <v>1045</v>
      </c>
      <c r="B11" s="239" t="s">
        <v>1049</v>
      </c>
      <c r="C11" s="239"/>
      <c r="D11" s="239"/>
      <c r="E11" s="239"/>
      <c r="F11" s="239"/>
      <c r="G11" s="239"/>
      <c r="H11" s="239"/>
    </row>
    <row r="12" spans="1:8" x14ac:dyDescent="0.3">
      <c r="A12" s="77" t="s">
        <v>1006</v>
      </c>
      <c r="B12" s="77" t="s">
        <v>321</v>
      </c>
      <c r="C12" s="77" t="s">
        <v>1027</v>
      </c>
      <c r="D12" s="77" t="s">
        <v>322</v>
      </c>
      <c r="E12" s="77" t="s">
        <v>1028</v>
      </c>
      <c r="F12" s="79" t="s">
        <v>1029</v>
      </c>
      <c r="G12" s="80" t="s">
        <v>1030</v>
      </c>
      <c r="H12" s="80" t="s">
        <v>1031</v>
      </c>
    </row>
    <row r="13" spans="1:8" ht="104" x14ac:dyDescent="0.3">
      <c r="A13" s="82">
        <v>1</v>
      </c>
      <c r="B13" s="82" t="s">
        <v>798</v>
      </c>
      <c r="C13" s="88" t="s">
        <v>1047</v>
      </c>
      <c r="D13" s="83" t="s">
        <v>1046</v>
      </c>
      <c r="E13" s="82" t="s">
        <v>1048</v>
      </c>
      <c r="F13" s="89">
        <v>2</v>
      </c>
      <c r="G13" s="90">
        <v>1129.56</v>
      </c>
      <c r="H13" s="90">
        <f>G13*F13</f>
        <v>2259.12</v>
      </c>
    </row>
    <row r="14" spans="1:8" x14ac:dyDescent="0.3">
      <c r="A14" s="238" t="s">
        <v>1059</v>
      </c>
      <c r="B14" s="238"/>
      <c r="C14" s="238"/>
      <c r="D14" s="238"/>
      <c r="E14" s="238"/>
      <c r="F14" s="238"/>
      <c r="G14" s="238"/>
      <c r="H14" s="87">
        <f>H13</f>
        <v>2259.12</v>
      </c>
    </row>
    <row r="16" spans="1:8" x14ac:dyDescent="0.3">
      <c r="A16" s="77" t="s">
        <v>1050</v>
      </c>
      <c r="B16" s="237" t="s">
        <v>1182</v>
      </c>
      <c r="C16" s="237"/>
      <c r="D16" s="237"/>
      <c r="E16" s="237"/>
      <c r="F16" s="237"/>
      <c r="G16" s="237"/>
      <c r="H16" s="237"/>
    </row>
    <row r="17" spans="1:8" x14ac:dyDescent="0.3">
      <c r="A17" s="77" t="s">
        <v>1006</v>
      </c>
      <c r="B17" s="77" t="s">
        <v>321</v>
      </c>
      <c r="C17" s="77" t="s">
        <v>1027</v>
      </c>
      <c r="D17" s="77" t="s">
        <v>322</v>
      </c>
      <c r="E17" s="77" t="s">
        <v>1028</v>
      </c>
      <c r="F17" s="79" t="s">
        <v>1029</v>
      </c>
      <c r="G17" s="80" t="s">
        <v>1030</v>
      </c>
      <c r="H17" s="80" t="s">
        <v>1031</v>
      </c>
    </row>
    <row r="18" spans="1:8" ht="26" x14ac:dyDescent="0.3">
      <c r="A18" s="81">
        <v>1</v>
      </c>
      <c r="B18" s="82" t="s">
        <v>798</v>
      </c>
      <c r="C18" s="81" t="s">
        <v>1038</v>
      </c>
      <c r="D18" s="83" t="s">
        <v>1039</v>
      </c>
      <c r="E18" s="82" t="s">
        <v>1040</v>
      </c>
      <c r="F18" s="89">
        <v>2</v>
      </c>
      <c r="G18" s="81">
        <v>19.829999999999998</v>
      </c>
      <c r="H18" s="90">
        <f>F18*G18</f>
        <v>39.659999999999997</v>
      </c>
    </row>
    <row r="19" spans="1:8" ht="26" x14ac:dyDescent="0.3">
      <c r="A19" s="81">
        <v>2</v>
      </c>
      <c r="B19" s="82" t="s">
        <v>798</v>
      </c>
      <c r="C19" s="81" t="s">
        <v>1041</v>
      </c>
      <c r="D19" s="83" t="s">
        <v>1042</v>
      </c>
      <c r="E19" s="82" t="s">
        <v>1040</v>
      </c>
      <c r="F19" s="89">
        <v>2</v>
      </c>
      <c r="G19" s="81">
        <v>24.53</v>
      </c>
      <c r="H19" s="90">
        <f t="shared" ref="H19:H20" si="0">F19*G19</f>
        <v>49.06</v>
      </c>
    </row>
    <row r="20" spans="1:8" ht="26" x14ac:dyDescent="0.3">
      <c r="A20" s="81">
        <v>3</v>
      </c>
      <c r="B20" s="82" t="s">
        <v>1037</v>
      </c>
      <c r="C20" s="81" t="s">
        <v>1037</v>
      </c>
      <c r="D20" s="94" t="s">
        <v>1322</v>
      </c>
      <c r="E20" s="81" t="s">
        <v>323</v>
      </c>
      <c r="F20" s="86">
        <v>1</v>
      </c>
      <c r="G20" s="81">
        <f>cotações!D48</f>
        <v>389.9</v>
      </c>
      <c r="H20" s="90">
        <f t="shared" si="0"/>
        <v>389.9</v>
      </c>
    </row>
    <row r="21" spans="1:8" x14ac:dyDescent="0.3">
      <c r="A21" s="238" t="s">
        <v>1059</v>
      </c>
      <c r="B21" s="238"/>
      <c r="C21" s="238"/>
      <c r="D21" s="238"/>
      <c r="E21" s="238"/>
      <c r="F21" s="238"/>
      <c r="G21" s="238"/>
      <c r="H21" s="87">
        <f>SUM(H18:H20)</f>
        <v>478.62</v>
      </c>
    </row>
    <row r="23" spans="1:8" ht="24" customHeight="1" x14ac:dyDescent="0.3">
      <c r="A23" s="77" t="s">
        <v>1053</v>
      </c>
      <c r="B23" s="237" t="s">
        <v>1054</v>
      </c>
      <c r="C23" s="237"/>
      <c r="D23" s="237"/>
      <c r="E23" s="237"/>
      <c r="F23" s="237"/>
      <c r="G23" s="237"/>
      <c r="H23" s="237"/>
    </row>
    <row r="24" spans="1:8" x14ac:dyDescent="0.3">
      <c r="A24" s="77" t="s">
        <v>1006</v>
      </c>
      <c r="B24" s="77" t="s">
        <v>321</v>
      </c>
      <c r="C24" s="77" t="s">
        <v>1027</v>
      </c>
      <c r="D24" s="77" t="s">
        <v>322</v>
      </c>
      <c r="E24" s="77" t="s">
        <v>1028</v>
      </c>
      <c r="F24" s="79" t="s">
        <v>1029</v>
      </c>
      <c r="G24" s="80" t="s">
        <v>1030</v>
      </c>
      <c r="H24" s="80" t="s">
        <v>1031</v>
      </c>
    </row>
    <row r="25" spans="1:8" ht="78" x14ac:dyDescent="0.3">
      <c r="A25" s="81">
        <v>1</v>
      </c>
      <c r="B25" s="82" t="s">
        <v>798</v>
      </c>
      <c r="C25" s="81" t="s">
        <v>1327</v>
      </c>
      <c r="D25" s="83" t="s">
        <v>1062</v>
      </c>
      <c r="E25" s="81" t="s">
        <v>1040</v>
      </c>
      <c r="F25" s="84">
        <v>1</v>
      </c>
      <c r="G25" s="84">
        <v>1.75</v>
      </c>
      <c r="H25" s="90">
        <f t="shared" ref="H25:H28" si="1">F25*G25</f>
        <v>1.75</v>
      </c>
    </row>
    <row r="26" spans="1:8" ht="52.5" customHeight="1" x14ac:dyDescent="0.3">
      <c r="A26" s="81">
        <v>2</v>
      </c>
      <c r="B26" s="82" t="s">
        <v>798</v>
      </c>
      <c r="C26" s="81" t="s">
        <v>1326</v>
      </c>
      <c r="D26" s="83" t="s">
        <v>1061</v>
      </c>
      <c r="E26" s="81" t="s">
        <v>323</v>
      </c>
      <c r="F26" s="84">
        <v>0.1</v>
      </c>
      <c r="G26" s="84">
        <v>84.42</v>
      </c>
      <c r="H26" s="90">
        <f t="shared" si="1"/>
        <v>8.4420000000000002</v>
      </c>
    </row>
    <row r="27" spans="1:8" ht="26" x14ac:dyDescent="0.3">
      <c r="A27" s="81">
        <v>3</v>
      </c>
      <c r="B27" s="82" t="s">
        <v>798</v>
      </c>
      <c r="C27" s="81" t="s">
        <v>1056</v>
      </c>
      <c r="D27" s="83" t="s">
        <v>1055</v>
      </c>
      <c r="E27" s="81" t="s">
        <v>1040</v>
      </c>
      <c r="F27" s="84">
        <v>0.5</v>
      </c>
      <c r="G27" s="84">
        <v>25.59</v>
      </c>
      <c r="H27" s="90">
        <f t="shared" si="1"/>
        <v>12.795</v>
      </c>
    </row>
    <row r="28" spans="1:8" ht="26" x14ac:dyDescent="0.3">
      <c r="A28" s="81">
        <v>4</v>
      </c>
      <c r="B28" s="82" t="s">
        <v>798</v>
      </c>
      <c r="C28" s="81" t="s">
        <v>1057</v>
      </c>
      <c r="D28" s="83" t="s">
        <v>1043</v>
      </c>
      <c r="E28" s="81" t="s">
        <v>1040</v>
      </c>
      <c r="F28" s="86">
        <v>1</v>
      </c>
      <c r="G28" s="81">
        <v>18.53</v>
      </c>
      <c r="H28" s="90">
        <f t="shared" si="1"/>
        <v>18.53</v>
      </c>
    </row>
    <row r="29" spans="1:8" x14ac:dyDescent="0.3">
      <c r="A29" s="238" t="s">
        <v>1058</v>
      </c>
      <c r="B29" s="238"/>
      <c r="C29" s="238"/>
      <c r="D29" s="238"/>
      <c r="E29" s="238"/>
      <c r="F29" s="238"/>
      <c r="G29" s="238"/>
      <c r="H29" s="87">
        <f>SUM(H25:H28)</f>
        <v>41.517000000000003</v>
      </c>
    </row>
    <row r="31" spans="1:8" x14ac:dyDescent="0.3">
      <c r="A31" s="77" t="s">
        <v>1063</v>
      </c>
      <c r="B31" s="237" t="s">
        <v>1064</v>
      </c>
      <c r="C31" s="237"/>
      <c r="D31" s="237"/>
      <c r="E31" s="237"/>
      <c r="F31" s="237"/>
      <c r="G31" s="237"/>
      <c r="H31" s="237"/>
    </row>
    <row r="32" spans="1:8" x14ac:dyDescent="0.3">
      <c r="A32" s="77" t="s">
        <v>1006</v>
      </c>
      <c r="B32" s="77" t="s">
        <v>321</v>
      </c>
      <c r="C32" s="77" t="s">
        <v>1027</v>
      </c>
      <c r="D32" s="77" t="s">
        <v>322</v>
      </c>
      <c r="E32" s="77" t="s">
        <v>1028</v>
      </c>
      <c r="F32" s="79" t="s">
        <v>1029</v>
      </c>
      <c r="G32" s="80" t="s">
        <v>1030</v>
      </c>
      <c r="H32" s="80" t="s">
        <v>1031</v>
      </c>
    </row>
    <row r="33" spans="1:8" ht="39" x14ac:dyDescent="0.3">
      <c r="A33" s="81">
        <v>1</v>
      </c>
      <c r="B33" s="82" t="s">
        <v>1037</v>
      </c>
      <c r="C33" s="81" t="s">
        <v>1065</v>
      </c>
      <c r="D33" s="94" t="s">
        <v>1066</v>
      </c>
      <c r="E33" s="81" t="s">
        <v>323</v>
      </c>
      <c r="F33" s="84">
        <v>1</v>
      </c>
      <c r="G33" s="84">
        <f>cotações!Q44</f>
        <v>939.9</v>
      </c>
      <c r="H33" s="90">
        <f t="shared" ref="H33:H36" si="2">F33*G33</f>
        <v>939.9</v>
      </c>
    </row>
    <row r="34" spans="1:8" ht="26" x14ac:dyDescent="0.3">
      <c r="A34" s="81">
        <v>2</v>
      </c>
      <c r="B34" s="82" t="s">
        <v>798</v>
      </c>
      <c r="C34" s="81" t="s">
        <v>1067</v>
      </c>
      <c r="D34" s="83" t="s">
        <v>1069</v>
      </c>
      <c r="E34" s="81" t="s">
        <v>1040</v>
      </c>
      <c r="F34" s="84">
        <v>2</v>
      </c>
      <c r="G34" s="84">
        <v>20.83</v>
      </c>
      <c r="H34" s="90">
        <f t="shared" si="2"/>
        <v>41.66</v>
      </c>
    </row>
    <row r="35" spans="1:8" ht="26" x14ac:dyDescent="0.3">
      <c r="A35" s="81">
        <v>3</v>
      </c>
      <c r="B35" s="82" t="s">
        <v>798</v>
      </c>
      <c r="C35" s="81" t="s">
        <v>1068</v>
      </c>
      <c r="D35" s="83" t="s">
        <v>1070</v>
      </c>
      <c r="E35" s="81" t="s">
        <v>1040</v>
      </c>
      <c r="F35" s="84">
        <v>1</v>
      </c>
      <c r="G35" s="84">
        <v>25.63</v>
      </c>
      <c r="H35" s="90">
        <f t="shared" si="2"/>
        <v>25.63</v>
      </c>
    </row>
    <row r="36" spans="1:8" x14ac:dyDescent="0.3">
      <c r="A36" s="81">
        <v>4</v>
      </c>
      <c r="B36" s="82"/>
      <c r="C36" s="81"/>
      <c r="D36" s="83"/>
      <c r="E36" s="81"/>
      <c r="F36" s="86"/>
      <c r="G36" s="81"/>
      <c r="H36" s="90">
        <f t="shared" si="2"/>
        <v>0</v>
      </c>
    </row>
    <row r="37" spans="1:8" x14ac:dyDescent="0.3">
      <c r="A37" s="238" t="s">
        <v>1071</v>
      </c>
      <c r="B37" s="238"/>
      <c r="C37" s="238"/>
      <c r="D37" s="238"/>
      <c r="E37" s="238"/>
      <c r="F37" s="238"/>
      <c r="G37" s="238"/>
      <c r="H37" s="87">
        <f>SUM(H33:H36)</f>
        <v>1007.1899999999999</v>
      </c>
    </row>
    <row r="38" spans="1:8" x14ac:dyDescent="0.3">
      <c r="A38" s="75"/>
      <c r="B38" s="75"/>
      <c r="C38" s="75"/>
      <c r="D38" s="75"/>
      <c r="E38" s="75"/>
      <c r="F38" s="75"/>
      <c r="G38" s="75"/>
      <c r="H38" s="91"/>
    </row>
    <row r="39" spans="1:8" x14ac:dyDescent="0.3">
      <c r="A39" s="77" t="s">
        <v>1072</v>
      </c>
      <c r="B39" s="237" t="s">
        <v>1076</v>
      </c>
      <c r="C39" s="237"/>
      <c r="D39" s="237"/>
      <c r="E39" s="237"/>
      <c r="F39" s="237"/>
      <c r="G39" s="237"/>
      <c r="H39" s="237"/>
    </row>
    <row r="40" spans="1:8" x14ac:dyDescent="0.3">
      <c r="A40" s="77" t="s">
        <v>1006</v>
      </c>
      <c r="B40" s="77" t="s">
        <v>321</v>
      </c>
      <c r="C40" s="77" t="s">
        <v>1027</v>
      </c>
      <c r="D40" s="77" t="s">
        <v>322</v>
      </c>
      <c r="E40" s="77" t="s">
        <v>1028</v>
      </c>
      <c r="F40" s="79" t="s">
        <v>1029</v>
      </c>
      <c r="G40" s="80" t="s">
        <v>1030</v>
      </c>
      <c r="H40" s="80" t="s">
        <v>1031</v>
      </c>
    </row>
    <row r="41" spans="1:8" ht="14.5" x14ac:dyDescent="0.35">
      <c r="A41" s="81">
        <v>1</v>
      </c>
      <c r="B41" s="82" t="s">
        <v>798</v>
      </c>
      <c r="C41" s="1" t="s">
        <v>1324</v>
      </c>
      <c r="D41" s="83" t="s">
        <v>1325</v>
      </c>
      <c r="E41" s="81" t="s">
        <v>329</v>
      </c>
      <c r="F41" s="84">
        <v>1</v>
      </c>
      <c r="G41" s="84">
        <v>211.01</v>
      </c>
      <c r="H41" s="90">
        <f t="shared" ref="H41:H44" si="3">F41*G41</f>
        <v>211.01</v>
      </c>
    </row>
    <row r="42" spans="1:8" ht="26" x14ac:dyDescent="0.3">
      <c r="A42" s="81">
        <v>2</v>
      </c>
      <c r="B42" s="82" t="s">
        <v>798</v>
      </c>
      <c r="C42" s="81" t="s">
        <v>1056</v>
      </c>
      <c r="D42" s="83" t="s">
        <v>1055</v>
      </c>
      <c r="E42" s="81" t="s">
        <v>1040</v>
      </c>
      <c r="F42" s="84">
        <v>0.5</v>
      </c>
      <c r="G42" s="84">
        <f>G27</f>
        <v>25.59</v>
      </c>
      <c r="H42" s="90">
        <f t="shared" si="3"/>
        <v>12.795</v>
      </c>
    </row>
    <row r="43" spans="1:8" ht="39" x14ac:dyDescent="0.3">
      <c r="A43" s="81">
        <v>3</v>
      </c>
      <c r="B43" s="82" t="s">
        <v>798</v>
      </c>
      <c r="C43" s="81" t="s">
        <v>1323</v>
      </c>
      <c r="D43" s="83" t="s">
        <v>1078</v>
      </c>
      <c r="E43" s="81" t="s">
        <v>331</v>
      </c>
      <c r="F43" s="86">
        <v>1</v>
      </c>
      <c r="G43" s="81">
        <v>119.46</v>
      </c>
      <c r="H43" s="90">
        <f t="shared" si="3"/>
        <v>119.46</v>
      </c>
    </row>
    <row r="44" spans="1:8" ht="65.5" x14ac:dyDescent="0.35">
      <c r="A44" s="81">
        <v>4</v>
      </c>
      <c r="B44" s="82" t="s">
        <v>798</v>
      </c>
      <c r="C44" s="81" t="s">
        <v>600</v>
      </c>
      <c r="D44" s="83" t="s">
        <v>817</v>
      </c>
      <c r="E44" s="12" t="s">
        <v>333</v>
      </c>
      <c r="F44" s="26">
        <f>0.4*0.4*0.4</f>
        <v>6.4000000000000015E-2</v>
      </c>
      <c r="G44" s="26">
        <v>693.73</v>
      </c>
      <c r="H44" s="90">
        <f t="shared" si="3"/>
        <v>44.398720000000012</v>
      </c>
    </row>
    <row r="45" spans="1:8" x14ac:dyDescent="0.3">
      <c r="A45" s="238" t="s">
        <v>1079</v>
      </c>
      <c r="B45" s="238"/>
      <c r="C45" s="238"/>
      <c r="D45" s="238"/>
      <c r="E45" s="238"/>
      <c r="F45" s="238"/>
      <c r="G45" s="238"/>
      <c r="H45" s="87">
        <f>SUM(H41:H44)</f>
        <v>387.66372000000001</v>
      </c>
    </row>
    <row r="46" spans="1:8" ht="36.65" customHeight="1" x14ac:dyDescent="0.3"/>
    <row r="47" spans="1:8" ht="26" customHeight="1" x14ac:dyDescent="0.3">
      <c r="A47" s="77" t="s">
        <v>1379</v>
      </c>
      <c r="B47" s="237" t="s">
        <v>1380</v>
      </c>
      <c r="C47" s="237"/>
      <c r="D47" s="237"/>
      <c r="E47" s="237"/>
      <c r="F47" s="237"/>
      <c r="G47" s="237"/>
      <c r="H47" s="237"/>
    </row>
    <row r="48" spans="1:8" x14ac:dyDescent="0.3">
      <c r="A48" s="77" t="s">
        <v>1006</v>
      </c>
      <c r="B48" s="77" t="s">
        <v>321</v>
      </c>
      <c r="C48" s="77" t="s">
        <v>1027</v>
      </c>
      <c r="D48" s="77" t="s">
        <v>322</v>
      </c>
      <c r="E48" s="77" t="s">
        <v>1028</v>
      </c>
      <c r="F48" s="79" t="s">
        <v>1029</v>
      </c>
      <c r="G48" s="80" t="s">
        <v>1030</v>
      </c>
      <c r="H48" s="80" t="s">
        <v>1031</v>
      </c>
    </row>
    <row r="49" spans="1:8" ht="26.5" x14ac:dyDescent="0.35">
      <c r="A49" s="81">
        <v>1</v>
      </c>
      <c r="B49" s="82" t="s">
        <v>1037</v>
      </c>
      <c r="C49" s="1" t="s">
        <v>1065</v>
      </c>
      <c r="D49" s="83" t="s">
        <v>1378</v>
      </c>
      <c r="E49" s="81" t="s">
        <v>335</v>
      </c>
      <c r="F49" s="84">
        <v>1.02</v>
      </c>
      <c r="G49" s="84">
        <v>2.97</v>
      </c>
      <c r="H49" s="90">
        <f t="shared" ref="H49:H51" si="4">F49*G49</f>
        <v>3.0294000000000003</v>
      </c>
    </row>
    <row r="50" spans="1:8" ht="26" x14ac:dyDescent="0.3">
      <c r="A50" s="81">
        <v>2</v>
      </c>
      <c r="B50" s="82" t="s">
        <v>798</v>
      </c>
      <c r="C50" s="81" t="s">
        <v>1383</v>
      </c>
      <c r="D50" s="83" t="s">
        <v>1382</v>
      </c>
      <c r="E50" s="81" t="s">
        <v>1040</v>
      </c>
      <c r="F50" s="84">
        <v>4.0740699999999998E-2</v>
      </c>
      <c r="G50" s="84">
        <v>20.83</v>
      </c>
      <c r="H50" s="90">
        <f t="shared" si="4"/>
        <v>0.84862878099999983</v>
      </c>
    </row>
    <row r="51" spans="1:8" ht="26" x14ac:dyDescent="0.3">
      <c r="A51" s="81">
        <v>3</v>
      </c>
      <c r="B51" s="82" t="s">
        <v>798</v>
      </c>
      <c r="C51" s="81" t="s">
        <v>1385</v>
      </c>
      <c r="D51" s="83" t="s">
        <v>1384</v>
      </c>
      <c r="E51" s="81" t="s">
        <v>1040</v>
      </c>
      <c r="F51" s="86">
        <v>4.0740699999999998E-2</v>
      </c>
      <c r="G51" s="81">
        <v>25.63</v>
      </c>
      <c r="H51" s="90">
        <f t="shared" si="4"/>
        <v>1.0441841409999999</v>
      </c>
    </row>
    <row r="52" spans="1:8" x14ac:dyDescent="0.3">
      <c r="A52" s="238" t="s">
        <v>1079</v>
      </c>
      <c r="B52" s="238"/>
      <c r="C52" s="238"/>
      <c r="D52" s="238"/>
      <c r="E52" s="238"/>
      <c r="F52" s="238"/>
      <c r="G52" s="238"/>
      <c r="H52" s="87">
        <f>SUM(H49:H51)</f>
        <v>4.9222129219999999</v>
      </c>
    </row>
    <row r="56" spans="1:8" ht="14.5" x14ac:dyDescent="0.35">
      <c r="D56" s="1" t="s">
        <v>1003</v>
      </c>
    </row>
    <row r="57" spans="1:8" ht="14.5" x14ac:dyDescent="0.35">
      <c r="D57" s="1" t="s">
        <v>1004</v>
      </c>
    </row>
  </sheetData>
  <mergeCells count="17">
    <mergeCell ref="A29:G29"/>
    <mergeCell ref="B47:H47"/>
    <mergeCell ref="A52:G52"/>
    <mergeCell ref="B11:H11"/>
    <mergeCell ref="A1:H1"/>
    <mergeCell ref="A2:H2"/>
    <mergeCell ref="A3:H3"/>
    <mergeCell ref="B5:H5"/>
    <mergeCell ref="A9:G9"/>
    <mergeCell ref="B31:H31"/>
    <mergeCell ref="A37:G37"/>
    <mergeCell ref="B39:H39"/>
    <mergeCell ref="A45:G45"/>
    <mergeCell ref="A14:G14"/>
    <mergeCell ref="B16:H16"/>
    <mergeCell ref="A21:G21"/>
    <mergeCell ref="B23:H23"/>
  </mergeCells>
  <pageMargins left="0.70866141732283472" right="0.70866141732283472" top="0.74803149606299213" bottom="1.7322834645669292" header="0.31496062992125984" footer="0.31496062992125984"/>
  <pageSetup paperSize="9" scale="74" fitToHeight="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CE5DFA-26CE-4565-8FDE-FCFC3224C514}">
  <dimension ref="A1:I30"/>
  <sheetViews>
    <sheetView zoomScale="85" zoomScaleNormal="85" workbookViewId="0">
      <selection activeCell="A29" sqref="A1:I29"/>
    </sheetView>
  </sheetViews>
  <sheetFormatPr defaultColWidth="8.81640625" defaultRowHeight="12.5" x14ac:dyDescent="0.25"/>
  <cols>
    <col min="1" max="1" width="28.1796875" style="29" bestFit="1" customWidth="1"/>
    <col min="2" max="2" width="8.81640625" style="29"/>
    <col min="3" max="3" width="8.81640625" style="29" customWidth="1"/>
    <col min="4" max="7" width="8.81640625" style="29"/>
    <col min="8" max="8" width="28.1796875" style="29" hidden="1" customWidth="1"/>
    <col min="9" max="9" width="8.453125" style="29" bestFit="1" customWidth="1"/>
    <col min="10" max="16384" width="8.81640625" style="29"/>
  </cols>
  <sheetData>
    <row r="1" spans="1:9" ht="13" x14ac:dyDescent="0.3">
      <c r="A1" s="242" t="str">
        <f>Orçamento202411!A1</f>
        <v xml:space="preserve">PREFEITURA MUNICIPAL DE QUELUZITO </v>
      </c>
      <c r="B1" s="243"/>
      <c r="C1" s="243"/>
      <c r="D1" s="243"/>
      <c r="E1" s="243"/>
      <c r="F1" s="243"/>
      <c r="G1" s="243"/>
      <c r="H1" s="243"/>
      <c r="I1" s="243"/>
    </row>
    <row r="2" spans="1:9" ht="13" x14ac:dyDescent="0.3">
      <c r="A2" s="242" t="str">
        <f>Orçamento202411!A3</f>
        <v>REFORMA E AMPLIAÇÃO DA UNIDADE BÁSICA DE SAÚDE</v>
      </c>
      <c r="B2" s="243"/>
      <c r="C2" s="243"/>
      <c r="D2" s="243"/>
      <c r="E2" s="243"/>
      <c r="F2" s="243"/>
      <c r="G2" s="243"/>
      <c r="H2" s="243"/>
      <c r="I2" s="243"/>
    </row>
    <row r="3" spans="1:9" ht="13" x14ac:dyDescent="0.3">
      <c r="A3" s="243" t="s">
        <v>984</v>
      </c>
      <c r="B3" s="243"/>
      <c r="C3" s="243"/>
      <c r="D3" s="243"/>
      <c r="E3" s="243"/>
      <c r="F3" s="243"/>
      <c r="G3" s="243"/>
      <c r="H3" s="243"/>
      <c r="I3" s="243"/>
    </row>
    <row r="6" spans="1:9" x14ac:dyDescent="0.25">
      <c r="A6" s="244" t="s">
        <v>985</v>
      </c>
      <c r="B6" s="244"/>
      <c r="C6" s="244"/>
      <c r="D6" s="244"/>
      <c r="E6" s="244"/>
      <c r="F6" s="244"/>
      <c r="G6" s="244"/>
      <c r="H6" s="244"/>
      <c r="I6" s="244"/>
    </row>
    <row r="7" spans="1:9" ht="13" x14ac:dyDescent="0.25">
      <c r="A7" s="30" t="s">
        <v>986</v>
      </c>
      <c r="B7" s="245" t="s">
        <v>987</v>
      </c>
      <c r="C7" s="246"/>
      <c r="D7" s="246"/>
      <c r="E7" s="246"/>
      <c r="F7" s="246"/>
      <c r="G7" s="247"/>
      <c r="H7" s="251" t="s">
        <v>988</v>
      </c>
      <c r="I7" s="252"/>
    </row>
    <row r="8" spans="1:9" x14ac:dyDescent="0.25">
      <c r="A8" s="31"/>
      <c r="B8" s="248"/>
      <c r="C8" s="249"/>
      <c r="D8" s="249"/>
      <c r="E8" s="249"/>
      <c r="F8" s="249"/>
      <c r="G8" s="250"/>
      <c r="H8" s="253"/>
      <c r="I8" s="254"/>
    </row>
    <row r="9" spans="1:9" x14ac:dyDescent="0.25">
      <c r="A9" s="32" t="s">
        <v>989</v>
      </c>
      <c r="B9" s="33" t="s">
        <v>990</v>
      </c>
      <c r="C9" s="255">
        <v>3.7999999999999999E-2</v>
      </c>
      <c r="D9" s="255"/>
      <c r="E9" s="34" t="s">
        <v>991</v>
      </c>
      <c r="F9" s="255">
        <v>4.6699999999999998E-2</v>
      </c>
      <c r="G9" s="256"/>
      <c r="H9" s="32" t="s">
        <v>989</v>
      </c>
      <c r="I9" s="35">
        <v>0.04</v>
      </c>
    </row>
    <row r="10" spans="1:9" x14ac:dyDescent="0.25">
      <c r="A10" s="36" t="s">
        <v>992</v>
      </c>
      <c r="B10" s="37" t="s">
        <v>990</v>
      </c>
      <c r="C10" s="257">
        <v>3.2000000000000002E-3</v>
      </c>
      <c r="D10" s="257"/>
      <c r="E10" s="38" t="s">
        <v>991</v>
      </c>
      <c r="F10" s="257">
        <v>7.4000000000000003E-3</v>
      </c>
      <c r="G10" s="258"/>
      <c r="H10" s="36" t="s">
        <v>992</v>
      </c>
      <c r="I10" s="35">
        <v>3.2000000000000002E-3</v>
      </c>
    </row>
    <row r="11" spans="1:9" x14ac:dyDescent="0.25">
      <c r="A11" s="36" t="s">
        <v>993</v>
      </c>
      <c r="B11" s="37" t="s">
        <v>990</v>
      </c>
      <c r="C11" s="257">
        <v>5.0000000000000001E-3</v>
      </c>
      <c r="D11" s="257"/>
      <c r="E11" s="38" t="s">
        <v>991</v>
      </c>
      <c r="F11" s="257">
        <v>9.7000000000000003E-3</v>
      </c>
      <c r="G11" s="258"/>
      <c r="H11" s="36" t="s">
        <v>993</v>
      </c>
      <c r="I11" s="35">
        <v>5.0000000000000001E-3</v>
      </c>
    </row>
    <row r="12" spans="1:9" x14ac:dyDescent="0.25">
      <c r="A12" s="36" t="s">
        <v>994</v>
      </c>
      <c r="B12" s="37" t="s">
        <v>990</v>
      </c>
      <c r="C12" s="257">
        <v>1.0200000000000001E-2</v>
      </c>
      <c r="D12" s="257"/>
      <c r="E12" s="38" t="s">
        <v>991</v>
      </c>
      <c r="F12" s="257">
        <v>1.21E-2</v>
      </c>
      <c r="G12" s="258"/>
      <c r="H12" s="36" t="s">
        <v>994</v>
      </c>
      <c r="I12" s="35">
        <v>1.21E-2</v>
      </c>
    </row>
    <row r="13" spans="1:9" x14ac:dyDescent="0.25">
      <c r="A13" s="36" t="s">
        <v>995</v>
      </c>
      <c r="B13" s="37" t="s">
        <v>990</v>
      </c>
      <c r="C13" s="257">
        <v>6.6400000000000001E-2</v>
      </c>
      <c r="D13" s="257"/>
      <c r="E13" s="38" t="s">
        <v>991</v>
      </c>
      <c r="F13" s="257">
        <v>8.6900000000000005E-2</v>
      </c>
      <c r="G13" s="258"/>
      <c r="H13" s="36" t="s">
        <v>995</v>
      </c>
      <c r="I13" s="35">
        <v>0.08</v>
      </c>
    </row>
    <row r="14" spans="1:9" x14ac:dyDescent="0.25">
      <c r="A14" s="39" t="s">
        <v>996</v>
      </c>
      <c r="B14" s="37" t="s">
        <v>990</v>
      </c>
      <c r="C14" s="257">
        <v>5.6500000000000002E-2</v>
      </c>
      <c r="D14" s="257"/>
      <c r="E14" s="38" t="s">
        <v>991</v>
      </c>
      <c r="F14" s="257">
        <v>8.6499999999999994E-2</v>
      </c>
      <c r="G14" s="258"/>
      <c r="H14" s="39" t="s">
        <v>996</v>
      </c>
      <c r="I14" s="35">
        <v>6.6500000000000004E-2</v>
      </c>
    </row>
    <row r="15" spans="1:9" x14ac:dyDescent="0.25">
      <c r="A15" s="40" t="s">
        <v>997</v>
      </c>
      <c r="B15" s="41"/>
      <c r="C15" s="262">
        <v>0</v>
      </c>
      <c r="D15" s="262"/>
      <c r="E15" s="42" t="s">
        <v>998</v>
      </c>
      <c r="F15" s="262">
        <v>4.4999999999999998E-2</v>
      </c>
      <c r="G15" s="263"/>
      <c r="H15" s="40" t="s">
        <v>999</v>
      </c>
      <c r="I15" s="35">
        <v>4.4999999999999998E-2</v>
      </c>
    </row>
    <row r="16" spans="1:9" x14ac:dyDescent="0.25">
      <c r="A16" s="264" t="s">
        <v>1000</v>
      </c>
      <c r="B16" s="265"/>
      <c r="C16" s="265"/>
      <c r="D16" s="265"/>
      <c r="E16" s="265"/>
      <c r="F16" s="265"/>
      <c r="G16" s="265"/>
      <c r="H16" s="265"/>
      <c r="I16" s="266"/>
    </row>
    <row r="17" spans="1:9" x14ac:dyDescent="0.25">
      <c r="A17" s="32" t="s">
        <v>989</v>
      </c>
      <c r="B17" s="267" t="str">
        <f>IF(I9&gt;F9,"Incidência maior que a permitida",IF(I9&lt;C9,"Incidência menor que a permitida","ok"))</f>
        <v>ok</v>
      </c>
      <c r="C17" s="268"/>
      <c r="D17" s="268"/>
      <c r="E17" s="268"/>
      <c r="F17" s="268"/>
      <c r="G17" s="268"/>
      <c r="H17" s="268"/>
      <c r="I17" s="269"/>
    </row>
    <row r="18" spans="1:9" x14ac:dyDescent="0.25">
      <c r="A18" s="36" t="s">
        <v>992</v>
      </c>
      <c r="B18" s="270" t="str">
        <f>IF(I10&gt;F10,"Incidência maior que a permitida",IF(I10&lt;0,"Incidência menor que a permitida","ok"))</f>
        <v>ok</v>
      </c>
      <c r="C18" s="271"/>
      <c r="D18" s="271"/>
      <c r="E18" s="271"/>
      <c r="F18" s="271"/>
      <c r="G18" s="271"/>
      <c r="H18" s="271"/>
      <c r="I18" s="272"/>
    </row>
    <row r="19" spans="1:9" x14ac:dyDescent="0.25">
      <c r="A19" s="36" t="s">
        <v>993</v>
      </c>
      <c r="B19" s="270" t="str">
        <f>IF(I11&gt;F11,"Incidência maior que a permitida",IF(I11&lt;0,"Incidência menor que a permitida","ok"))</f>
        <v>ok</v>
      </c>
      <c r="C19" s="271"/>
      <c r="D19" s="271"/>
      <c r="E19" s="271"/>
      <c r="F19" s="271"/>
      <c r="G19" s="271"/>
      <c r="H19" s="271"/>
      <c r="I19" s="272"/>
    </row>
    <row r="20" spans="1:9" x14ac:dyDescent="0.25">
      <c r="A20" s="36" t="s">
        <v>994</v>
      </c>
      <c r="B20" s="270" t="str">
        <f>IF(I12&gt;F12,"Incidência maior que a permitida",IF(I12&lt;C12,"Incidência menor que a permitida","ok"))</f>
        <v>ok</v>
      </c>
      <c r="C20" s="271"/>
      <c r="D20" s="271"/>
      <c r="E20" s="271"/>
      <c r="F20" s="271"/>
      <c r="G20" s="271"/>
      <c r="H20" s="271"/>
      <c r="I20" s="272"/>
    </row>
    <row r="21" spans="1:9" x14ac:dyDescent="0.25">
      <c r="A21" s="36" t="s">
        <v>995</v>
      </c>
      <c r="B21" s="270" t="str">
        <f>IF(I13&gt;F13,"Incidência maior que a permitida",IF(I13&lt;C13,"Incidência menor que a permitida","ok"))</f>
        <v>ok</v>
      </c>
      <c r="C21" s="271"/>
      <c r="D21" s="271"/>
      <c r="E21" s="271"/>
      <c r="F21" s="271"/>
      <c r="G21" s="271"/>
      <c r="H21" s="271"/>
      <c r="I21" s="272"/>
    </row>
    <row r="22" spans="1:9" x14ac:dyDescent="0.25">
      <c r="A22" s="39" t="s">
        <v>996</v>
      </c>
      <c r="B22" s="273" t="str">
        <f>IF(I14&gt;F14,"Incidência maior que a permitida",IF(I14&lt;C14,"Incidência menor que a permitida","ok"))</f>
        <v>ok</v>
      </c>
      <c r="C22" s="274"/>
      <c r="D22" s="274"/>
      <c r="E22" s="274"/>
      <c r="F22" s="274"/>
      <c r="G22" s="274"/>
      <c r="H22" s="274"/>
      <c r="I22" s="275"/>
    </row>
    <row r="23" spans="1:9" x14ac:dyDescent="0.25">
      <c r="A23" s="40" t="s">
        <v>999</v>
      </c>
      <c r="B23" s="273" t="str">
        <f>IF(I15=C15,"ok",IF(I15=F15,"ok","Incidência não permitida"))</f>
        <v>ok</v>
      </c>
      <c r="C23" s="274"/>
      <c r="D23" s="274"/>
      <c r="E23" s="274"/>
      <c r="F23" s="274"/>
      <c r="G23" s="274"/>
      <c r="H23" s="274"/>
      <c r="I23" s="275"/>
    </row>
    <row r="24" spans="1:9" ht="13" x14ac:dyDescent="0.3">
      <c r="A24" s="43" t="s">
        <v>1001</v>
      </c>
      <c r="B24" s="276" t="s">
        <v>1002</v>
      </c>
      <c r="C24" s="277"/>
      <c r="D24" s="277"/>
      <c r="E24" s="277"/>
      <c r="F24" s="277"/>
      <c r="G24" s="277"/>
      <c r="H24" s="278"/>
      <c r="I24" s="44">
        <f>ROUND(((1+I9+I10+I11)*(1+I12)*(1+I13)/(1-(I14+I15))-1),4)</f>
        <v>0.28949999999999998</v>
      </c>
    </row>
    <row r="25" spans="1:9" hidden="1" x14ac:dyDescent="0.25">
      <c r="A25" s="45"/>
      <c r="B25" s="259">
        <f>IF(I15=0.045,IF(AND(I24&gt;=K19,I24&lt;=L19),K18,L18),IF(AND(I24&gt;=K20,I24&lt;=L20),K18,L18))</f>
        <v>0</v>
      </c>
      <c r="C25" s="260"/>
      <c r="D25" s="260"/>
      <c r="E25" s="260"/>
      <c r="F25" s="260"/>
      <c r="G25" s="260"/>
      <c r="H25" s="260"/>
      <c r="I25" s="261"/>
    </row>
    <row r="28" spans="1:9" ht="14" x14ac:dyDescent="0.3">
      <c r="A28" s="46" t="s">
        <v>1003</v>
      </c>
    </row>
    <row r="29" spans="1:9" ht="14" x14ac:dyDescent="0.3">
      <c r="A29" s="46" t="s">
        <v>1004</v>
      </c>
    </row>
    <row r="30" spans="1:9" ht="14" x14ac:dyDescent="0.3">
      <c r="A30" s="46"/>
    </row>
  </sheetData>
  <mergeCells count="30">
    <mergeCell ref="B25:I25"/>
    <mergeCell ref="C15:D15"/>
    <mergeCell ref="F15:G15"/>
    <mergeCell ref="A16:I16"/>
    <mergeCell ref="B17:I17"/>
    <mergeCell ref="B18:I18"/>
    <mergeCell ref="B19:I19"/>
    <mergeCell ref="B20:I20"/>
    <mergeCell ref="B21:I21"/>
    <mergeCell ref="B22:I22"/>
    <mergeCell ref="B23:I23"/>
    <mergeCell ref="B24:H24"/>
    <mergeCell ref="C12:D12"/>
    <mergeCell ref="F12:G12"/>
    <mergeCell ref="C13:D13"/>
    <mergeCell ref="F13:G13"/>
    <mergeCell ref="C14:D14"/>
    <mergeCell ref="F14:G14"/>
    <mergeCell ref="C9:D9"/>
    <mergeCell ref="F9:G9"/>
    <mergeCell ref="C10:D10"/>
    <mergeCell ref="F10:G10"/>
    <mergeCell ref="C11:D11"/>
    <mergeCell ref="F11:G11"/>
    <mergeCell ref="A1:I1"/>
    <mergeCell ref="A2:I2"/>
    <mergeCell ref="A3:I3"/>
    <mergeCell ref="A6:I6"/>
    <mergeCell ref="B7:G8"/>
    <mergeCell ref="H7:I8"/>
  </mergeCells>
  <conditionalFormatting sqref="B17:B23">
    <cfRule type="cellIs" dxfId="4" priority="2" stopIfTrue="1" operator="notEqual">
      <formula>"ok"</formula>
    </cfRule>
  </conditionalFormatting>
  <conditionalFormatting sqref="B25:I25">
    <cfRule type="cellIs" dxfId="3" priority="4" stopIfTrue="1" operator="equal">
      <formula>$L$21</formula>
    </cfRule>
    <cfRule type="cellIs" dxfId="2" priority="5" stopIfTrue="1" operator="notEqual">
      <formula>$L$21</formula>
    </cfRule>
  </conditionalFormatting>
  <conditionalFormatting sqref="I9:I13">
    <cfRule type="cellIs" dxfId="1" priority="1" stopIfTrue="1" operator="notBetween">
      <formula>C9</formula>
      <formula>F9</formula>
    </cfRule>
  </conditionalFormatting>
  <conditionalFormatting sqref="I15">
    <cfRule type="expression" dxfId="0" priority="3" stopIfTrue="1">
      <formula>$M$18&lt;&gt;0</formula>
    </cfRule>
  </conditionalFormatting>
  <dataValidations count="1">
    <dataValidation allowBlank="1" showInputMessage="1" showErrorMessage="1" promptTitle="Fórnula TCU Acórdão 2622/2013" prompt="Rodovias, ferrovias, obras urbanas" sqref="B24:H24" xr:uid="{68E8F63A-6DA9-4353-BCF4-4647A65B764B}"/>
  </dataValidations>
  <pageMargins left="0.511811024" right="0.511811024" top="0.78740157499999996" bottom="0.78740157499999996" header="0.31496062000000002" footer="0.31496062000000002"/>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10558-B2F2-43DA-8B48-46D1DE9BEB8B}">
  <sheetPr>
    <pageSetUpPr fitToPage="1"/>
  </sheetPr>
  <dimension ref="A1:R24"/>
  <sheetViews>
    <sheetView topLeftCell="E1" zoomScale="70" zoomScaleNormal="70" workbookViewId="0">
      <selection activeCell="A24" sqref="A1:Q24"/>
    </sheetView>
  </sheetViews>
  <sheetFormatPr defaultColWidth="8.81640625" defaultRowHeight="14" x14ac:dyDescent="0.3"/>
  <cols>
    <col min="1" max="1" width="7.1796875" style="46" bestFit="1" customWidth="1"/>
    <col min="2" max="2" width="8.81640625" style="46"/>
    <col min="3" max="3" width="21" style="46" bestFit="1" customWidth="1"/>
    <col min="4" max="4" width="15.81640625" style="46" bestFit="1" customWidth="1"/>
    <col min="5" max="5" width="23.1796875" style="46" bestFit="1" customWidth="1"/>
    <col min="6" max="6" width="14" style="46" bestFit="1" customWidth="1"/>
    <col min="7" max="17" width="15.08984375" style="46" bestFit="1" customWidth="1"/>
    <col min="18" max="18" width="14.81640625" style="46" bestFit="1" customWidth="1"/>
    <col min="19" max="16384" width="8.81640625" style="46"/>
  </cols>
  <sheetData>
    <row r="1" spans="1:18" ht="21.65" customHeight="1" x14ac:dyDescent="0.3">
      <c r="A1" s="285" t="str">
        <f>Orçamento202411!A1</f>
        <v xml:space="preserve">PREFEITURA MUNICIPAL DE QUELUZITO </v>
      </c>
      <c r="B1" s="285"/>
      <c r="C1" s="285"/>
      <c r="D1" s="285"/>
      <c r="E1" s="285"/>
      <c r="F1" s="285"/>
      <c r="G1" s="285"/>
      <c r="H1" s="285"/>
      <c r="I1" s="285"/>
      <c r="J1" s="285"/>
      <c r="K1" s="285"/>
      <c r="L1" s="285"/>
      <c r="M1" s="285"/>
      <c r="N1" s="285"/>
      <c r="O1" s="285"/>
      <c r="P1" s="285"/>
      <c r="Q1" s="285"/>
    </row>
    <row r="2" spans="1:18" ht="21.65" customHeight="1" x14ac:dyDescent="0.3">
      <c r="A2" s="285" t="s">
        <v>1005</v>
      </c>
      <c r="B2" s="285"/>
      <c r="C2" s="285"/>
      <c r="D2" s="285"/>
      <c r="E2" s="285"/>
      <c r="F2" s="285"/>
      <c r="G2" s="285"/>
      <c r="H2" s="285"/>
      <c r="I2" s="285"/>
      <c r="J2" s="285"/>
      <c r="K2" s="285"/>
      <c r="L2" s="285"/>
      <c r="M2" s="285"/>
      <c r="N2" s="285"/>
      <c r="O2" s="285"/>
      <c r="P2" s="285"/>
      <c r="Q2" s="285"/>
    </row>
    <row r="3" spans="1:18" ht="21.65" customHeight="1" x14ac:dyDescent="0.3">
      <c r="A3" s="286" t="str">
        <f>Orçamento202411!A3</f>
        <v>REFORMA E AMPLIAÇÃO DA UNIDADE BÁSICA DE SAÚDE</v>
      </c>
      <c r="B3" s="286"/>
      <c r="C3" s="286"/>
      <c r="D3" s="286"/>
      <c r="E3" s="286"/>
      <c r="F3" s="286"/>
      <c r="G3" s="286"/>
      <c r="H3" s="286"/>
      <c r="I3" s="286"/>
      <c r="J3" s="286"/>
      <c r="K3" s="286"/>
      <c r="L3" s="286"/>
      <c r="M3" s="286"/>
      <c r="N3" s="286"/>
      <c r="O3" s="286"/>
      <c r="P3" s="286"/>
      <c r="Q3" s="286"/>
    </row>
    <row r="4" spans="1:18" x14ac:dyDescent="0.3">
      <c r="A4" s="48"/>
      <c r="B4" s="48"/>
      <c r="C4" s="48"/>
      <c r="D4" s="48"/>
      <c r="E4" s="48"/>
      <c r="F4" s="48"/>
      <c r="G4" s="48"/>
      <c r="H4" s="48"/>
      <c r="I4" s="48"/>
      <c r="J4" s="48"/>
      <c r="K4" s="48"/>
    </row>
    <row r="5" spans="1:18" ht="28" x14ac:dyDescent="0.3">
      <c r="A5" s="47" t="s">
        <v>1006</v>
      </c>
      <c r="B5" s="307" t="s">
        <v>322</v>
      </c>
      <c r="C5" s="307"/>
      <c r="D5" s="49" t="s">
        <v>1007</v>
      </c>
      <c r="E5" s="50" t="s">
        <v>1008</v>
      </c>
      <c r="F5" s="47" t="s">
        <v>1009</v>
      </c>
      <c r="G5" s="47" t="s">
        <v>1010</v>
      </c>
      <c r="H5" s="47" t="s">
        <v>1011</v>
      </c>
      <c r="I5" s="47" t="s">
        <v>1012</v>
      </c>
      <c r="J5" s="47" t="s">
        <v>1013</v>
      </c>
      <c r="K5" s="47" t="s">
        <v>1014</v>
      </c>
      <c r="L5" s="47" t="s">
        <v>1015</v>
      </c>
      <c r="M5" s="47" t="s">
        <v>1016</v>
      </c>
      <c r="N5" s="47" t="s">
        <v>1020</v>
      </c>
      <c r="O5" s="47" t="s">
        <v>1021</v>
      </c>
      <c r="P5" s="47" t="s">
        <v>1022</v>
      </c>
      <c r="Q5" s="47" t="s">
        <v>1023</v>
      </c>
    </row>
    <row r="6" spans="1:18" x14ac:dyDescent="0.3">
      <c r="A6" s="287">
        <v>1</v>
      </c>
      <c r="B6" s="308" t="str">
        <f>Orçamento202411!D9</f>
        <v>SERVIÇOS PRELIMINARES</v>
      </c>
      <c r="C6" s="309"/>
      <c r="D6" s="51" t="s">
        <v>1017</v>
      </c>
      <c r="E6" s="52">
        <f>E7/E17</f>
        <v>8.0561526526144497E-2</v>
      </c>
      <c r="F6" s="52">
        <v>0.12</v>
      </c>
      <c r="G6" s="52">
        <v>0.08</v>
      </c>
      <c r="H6" s="52">
        <v>0.08</v>
      </c>
      <c r="I6" s="52">
        <v>0.08</v>
      </c>
      <c r="J6" s="52">
        <v>0.08</v>
      </c>
      <c r="K6" s="52">
        <v>0.08</v>
      </c>
      <c r="L6" s="52">
        <v>0.08</v>
      </c>
      <c r="M6" s="52">
        <v>0.08</v>
      </c>
      <c r="N6" s="52">
        <v>0.08</v>
      </c>
      <c r="O6" s="52">
        <v>0.08</v>
      </c>
      <c r="P6" s="52">
        <v>0.08</v>
      </c>
      <c r="Q6" s="52">
        <v>0.08</v>
      </c>
    </row>
    <row r="7" spans="1:18" x14ac:dyDescent="0.3">
      <c r="A7" s="288"/>
      <c r="B7" s="309"/>
      <c r="C7" s="309"/>
      <c r="D7" s="51" t="s">
        <v>1018</v>
      </c>
      <c r="E7" s="53">
        <f>Orçamento202411!I9</f>
        <v>210283.8</v>
      </c>
      <c r="F7" s="54">
        <f>F6*$E7</f>
        <v>25234.055999999997</v>
      </c>
      <c r="G7" s="54">
        <f>G6*$E7</f>
        <v>16822.703999999998</v>
      </c>
      <c r="H7" s="54">
        <f t="shared" ref="H7:Q7" si="0">H6*$E7</f>
        <v>16822.703999999998</v>
      </c>
      <c r="I7" s="54">
        <f t="shared" si="0"/>
        <v>16822.703999999998</v>
      </c>
      <c r="J7" s="54">
        <f t="shared" si="0"/>
        <v>16822.703999999998</v>
      </c>
      <c r="K7" s="54">
        <f t="shared" si="0"/>
        <v>16822.703999999998</v>
      </c>
      <c r="L7" s="54">
        <f t="shared" si="0"/>
        <v>16822.703999999998</v>
      </c>
      <c r="M7" s="54">
        <f t="shared" si="0"/>
        <v>16822.703999999998</v>
      </c>
      <c r="N7" s="54">
        <f t="shared" si="0"/>
        <v>16822.703999999998</v>
      </c>
      <c r="O7" s="54">
        <f t="shared" si="0"/>
        <v>16822.703999999998</v>
      </c>
      <c r="P7" s="54">
        <f t="shared" si="0"/>
        <v>16822.703999999998</v>
      </c>
      <c r="Q7" s="54">
        <f t="shared" si="0"/>
        <v>16822.703999999998</v>
      </c>
      <c r="R7" s="72"/>
    </row>
    <row r="8" spans="1:18" x14ac:dyDescent="0.3">
      <c r="A8" s="293">
        <v>2</v>
      </c>
      <c r="B8" s="295" t="str">
        <f>Orçamento202411!D19</f>
        <v>AMPLIAÇÃO DA UBS</v>
      </c>
      <c r="C8" s="296"/>
      <c r="D8" s="55" t="str">
        <f>D6</f>
        <v>Físico %</v>
      </c>
      <c r="E8" s="56">
        <f>E9/E17</f>
        <v>0.53068122132913642</v>
      </c>
      <c r="F8" s="56">
        <v>0.05</v>
      </c>
      <c r="G8" s="56">
        <v>0.1</v>
      </c>
      <c r="H8" s="56">
        <v>0.2</v>
      </c>
      <c r="I8" s="56">
        <v>0.2</v>
      </c>
      <c r="J8" s="57">
        <v>0.15</v>
      </c>
      <c r="K8" s="57">
        <v>0.15</v>
      </c>
      <c r="L8" s="57">
        <v>0.15</v>
      </c>
      <c r="M8" s="58"/>
      <c r="N8" s="58"/>
      <c r="O8" s="58"/>
      <c r="P8" s="58"/>
      <c r="Q8" s="58"/>
    </row>
    <row r="9" spans="1:18" x14ac:dyDescent="0.3">
      <c r="A9" s="294"/>
      <c r="B9" s="297"/>
      <c r="C9" s="298"/>
      <c r="D9" s="55" t="str">
        <f>D7</f>
        <v>Financeiro</v>
      </c>
      <c r="E9" s="59">
        <f>Orçamento202411!I19</f>
        <v>1385197.9800000009</v>
      </c>
      <c r="F9" s="60">
        <f>F8*$E9</f>
        <v>69259.899000000049</v>
      </c>
      <c r="G9" s="60">
        <f t="shared" ref="G9:L9" si="1">G8*$E9</f>
        <v>138519.7980000001</v>
      </c>
      <c r="H9" s="60">
        <f t="shared" si="1"/>
        <v>277039.59600000019</v>
      </c>
      <c r="I9" s="60">
        <f t="shared" si="1"/>
        <v>277039.59600000019</v>
      </c>
      <c r="J9" s="60">
        <f t="shared" si="1"/>
        <v>207779.69700000013</v>
      </c>
      <c r="K9" s="60">
        <f t="shared" si="1"/>
        <v>207779.69700000013</v>
      </c>
      <c r="L9" s="60">
        <f t="shared" si="1"/>
        <v>207779.69700000013</v>
      </c>
      <c r="M9" s="58"/>
      <c r="N9" s="58"/>
      <c r="O9" s="58"/>
      <c r="P9" s="58"/>
      <c r="Q9" s="58"/>
      <c r="R9" s="72"/>
    </row>
    <row r="10" spans="1:18" x14ac:dyDescent="0.3">
      <c r="A10" s="287">
        <v>3</v>
      </c>
      <c r="B10" s="299" t="str">
        <f>Orçamento202411!D236</f>
        <v>REFORMA DA UBS (EDIFICAÇÃO EXISTENTE)</v>
      </c>
      <c r="C10" s="300"/>
      <c r="D10" s="51" t="str">
        <f>D6</f>
        <v>Físico %</v>
      </c>
      <c r="E10" s="52">
        <f>E11/E17</f>
        <v>0.25518017287781997</v>
      </c>
      <c r="F10" s="52"/>
      <c r="G10" s="52"/>
      <c r="H10" s="52"/>
      <c r="I10" s="52"/>
      <c r="J10" s="52"/>
      <c r="K10" s="52"/>
      <c r="L10" s="52"/>
      <c r="M10" s="61">
        <v>0.15</v>
      </c>
      <c r="N10" s="61">
        <v>0.2</v>
      </c>
      <c r="O10" s="61">
        <v>0.2</v>
      </c>
      <c r="P10" s="61">
        <v>0.25</v>
      </c>
      <c r="Q10" s="61">
        <v>0.2</v>
      </c>
    </row>
    <row r="11" spans="1:18" x14ac:dyDescent="0.3">
      <c r="A11" s="288"/>
      <c r="B11" s="301"/>
      <c r="C11" s="302"/>
      <c r="D11" s="51" t="str">
        <f t="shared" ref="D11" si="2">D9</f>
        <v>Financeiro</v>
      </c>
      <c r="E11" s="62">
        <f>Orçamento202411!I236</f>
        <v>666077.9499999996</v>
      </c>
      <c r="F11" s="62"/>
      <c r="G11" s="54"/>
      <c r="H11" s="54"/>
      <c r="I11" s="54"/>
      <c r="J11" s="54"/>
      <c r="K11" s="54"/>
      <c r="L11" s="54"/>
      <c r="M11" s="54">
        <f t="shared" ref="M11" si="3">M10*$E11</f>
        <v>99911.692499999932</v>
      </c>
      <c r="N11" s="54">
        <f t="shared" ref="N11" si="4">N10*$E11</f>
        <v>133215.58999999994</v>
      </c>
      <c r="O11" s="54">
        <f t="shared" ref="O11" si="5">O10*$E11</f>
        <v>133215.58999999994</v>
      </c>
      <c r="P11" s="54">
        <f t="shared" ref="P11" si="6">P10*$E11</f>
        <v>166519.4874999999</v>
      </c>
      <c r="Q11" s="54">
        <f t="shared" ref="Q11" si="7">Q10*$E11</f>
        <v>133215.58999999994</v>
      </c>
      <c r="R11" s="72"/>
    </row>
    <row r="12" spans="1:18" x14ac:dyDescent="0.3">
      <c r="A12" s="293">
        <v>4</v>
      </c>
      <c r="B12" s="303" t="str">
        <f>Orçamento202411!D370</f>
        <v xml:space="preserve">AGENCIAMENTO EXTERNO </v>
      </c>
      <c r="C12" s="304"/>
      <c r="D12" s="55" t="str">
        <f>D10</f>
        <v>Físico %</v>
      </c>
      <c r="E12" s="56">
        <f>E13/E17</f>
        <v>0.1319667398469169</v>
      </c>
      <c r="F12" s="56"/>
      <c r="G12" s="56"/>
      <c r="H12" s="56"/>
      <c r="I12" s="56"/>
      <c r="J12" s="56">
        <v>0.12</v>
      </c>
      <c r="K12" s="63">
        <v>0.12</v>
      </c>
      <c r="L12" s="63">
        <v>0.12</v>
      </c>
      <c r="M12" s="63">
        <v>0.12</v>
      </c>
      <c r="N12" s="63">
        <v>0.12</v>
      </c>
      <c r="O12" s="63">
        <v>0.12</v>
      </c>
      <c r="P12" s="63">
        <v>0.14000000000000001</v>
      </c>
      <c r="Q12" s="63">
        <v>0.14000000000000001</v>
      </c>
    </row>
    <row r="13" spans="1:18" x14ac:dyDescent="0.3">
      <c r="A13" s="294"/>
      <c r="B13" s="305"/>
      <c r="C13" s="306"/>
      <c r="D13" s="55" t="str">
        <f>D11</f>
        <v>Financeiro</v>
      </c>
      <c r="E13" s="59">
        <f>Orçamento202411!I370</f>
        <v>344463.02999999991</v>
      </c>
      <c r="F13" s="59"/>
      <c r="G13" s="60"/>
      <c r="H13" s="60"/>
      <c r="I13" s="60"/>
      <c r="J13" s="60">
        <f t="shared" ref="J13" si="8">J12*$E13</f>
        <v>41335.563599999987</v>
      </c>
      <c r="K13" s="60">
        <f t="shared" ref="K13" si="9">K12*$E13</f>
        <v>41335.563599999987</v>
      </c>
      <c r="L13" s="60">
        <f t="shared" ref="L13" si="10">L12*$E13</f>
        <v>41335.563599999987</v>
      </c>
      <c r="M13" s="60">
        <f t="shared" ref="M13" si="11">M12*$E13</f>
        <v>41335.563599999987</v>
      </c>
      <c r="N13" s="60">
        <f t="shared" ref="N13" si="12">N12*$E13</f>
        <v>41335.563599999987</v>
      </c>
      <c r="O13" s="60">
        <f t="shared" ref="O13" si="13">O12*$E13</f>
        <v>41335.563599999987</v>
      </c>
      <c r="P13" s="60">
        <f t="shared" ref="P13" si="14">P12*$E13</f>
        <v>48224.824199999995</v>
      </c>
      <c r="Q13" s="60">
        <f t="shared" ref="Q13" si="15">Q12*$E13</f>
        <v>48224.824199999995</v>
      </c>
      <c r="R13" s="72"/>
    </row>
    <row r="14" spans="1:18" x14ac:dyDescent="0.3">
      <c r="A14" s="287">
        <v>5</v>
      </c>
      <c r="B14" s="289" t="str">
        <f>Orçamento202411!D408</f>
        <v>LIMPEZA FINAL DE OBRA</v>
      </c>
      <c r="C14" s="290"/>
      <c r="D14" s="51" t="str">
        <f>D10</f>
        <v>Físico %</v>
      </c>
      <c r="E14" s="52">
        <f>E15/E17</f>
        <v>1.6103394199822787E-3</v>
      </c>
      <c r="F14" s="52"/>
      <c r="G14" s="52"/>
      <c r="H14" s="52"/>
      <c r="I14" s="52"/>
      <c r="J14" s="52"/>
      <c r="K14" s="52"/>
      <c r="L14" s="64">
        <v>0.7</v>
      </c>
      <c r="M14" s="65"/>
      <c r="N14" s="65"/>
      <c r="O14" s="65"/>
      <c r="P14" s="65"/>
      <c r="Q14" s="65">
        <v>0.3</v>
      </c>
    </row>
    <row r="15" spans="1:18" x14ac:dyDescent="0.3">
      <c r="A15" s="288"/>
      <c r="B15" s="291"/>
      <c r="C15" s="292"/>
      <c r="D15" s="51" t="str">
        <f>D11</f>
        <v>Financeiro</v>
      </c>
      <c r="E15" s="62">
        <f>Orçamento202411!I408</f>
        <v>4203.3500000000004</v>
      </c>
      <c r="F15" s="62"/>
      <c r="G15" s="54"/>
      <c r="H15" s="54"/>
      <c r="I15" s="54"/>
      <c r="J15" s="54"/>
      <c r="K15" s="54"/>
      <c r="L15" s="54">
        <f t="shared" ref="L15" si="16">L14*$E15</f>
        <v>2942.3450000000003</v>
      </c>
      <c r="M15" s="54"/>
      <c r="N15" s="54"/>
      <c r="O15" s="54"/>
      <c r="P15" s="54"/>
      <c r="Q15" s="54">
        <f t="shared" ref="Q15" si="17">Q14*$E15</f>
        <v>1261.0050000000001</v>
      </c>
      <c r="R15" s="72"/>
    </row>
    <row r="16" spans="1:18" x14ac:dyDescent="0.3">
      <c r="A16" s="279" t="s">
        <v>1019</v>
      </c>
      <c r="B16" s="280"/>
      <c r="C16" s="281"/>
      <c r="D16" s="66" t="s">
        <v>1017</v>
      </c>
      <c r="E16" s="67">
        <f>E6+E8+E10+E12+E14</f>
        <v>1</v>
      </c>
      <c r="F16" s="67">
        <f t="shared" ref="F16:Q16" si="18">F17/$E$17</f>
        <v>3.6201444249594157E-2</v>
      </c>
      <c r="G16" s="67">
        <f t="shared" si="18"/>
        <v>5.9513044255005199E-2</v>
      </c>
      <c r="H16" s="67">
        <f t="shared" si="18"/>
        <v>0.11258116638791883</v>
      </c>
      <c r="I16" s="67">
        <f t="shared" si="18"/>
        <v>0.11258116638791883</v>
      </c>
      <c r="J16" s="67">
        <f t="shared" si="18"/>
        <v>0.10188311410309205</v>
      </c>
      <c r="K16" s="67">
        <f t="shared" si="18"/>
        <v>0.10188311410309205</v>
      </c>
      <c r="L16" s="67">
        <f t="shared" si="18"/>
        <v>0.10301035169707963</v>
      </c>
      <c r="M16" s="67">
        <f t="shared" si="18"/>
        <v>6.0557956835394576E-2</v>
      </c>
      <c r="N16" s="67">
        <f t="shared" si="18"/>
        <v>7.3316965479285581E-2</v>
      </c>
      <c r="O16" s="67">
        <f t="shared" si="18"/>
        <v>7.3316965479285581E-2</v>
      </c>
      <c r="P16" s="67">
        <f t="shared" si="18"/>
        <v>8.8715308920114921E-2</v>
      </c>
      <c r="Q16" s="67">
        <f t="shared" si="18"/>
        <v>7.6439402102218612E-2</v>
      </c>
    </row>
    <row r="17" spans="1:17" x14ac:dyDescent="0.3">
      <c r="A17" s="282"/>
      <c r="B17" s="283"/>
      <c r="C17" s="284"/>
      <c r="D17" s="66" t="s">
        <v>1018</v>
      </c>
      <c r="E17" s="68">
        <f>E7+E9+E11+E13+E15</f>
        <v>2610226.1100000003</v>
      </c>
      <c r="F17" s="68">
        <f t="shared" ref="F17:Q17" si="19">F7+F9+F11+F13+F15</f>
        <v>94493.955000000045</v>
      </c>
      <c r="G17" s="68">
        <f t="shared" si="19"/>
        <v>155342.50200000009</v>
      </c>
      <c r="H17" s="68">
        <f t="shared" si="19"/>
        <v>293862.30000000016</v>
      </c>
      <c r="I17" s="68">
        <f t="shared" si="19"/>
        <v>293862.30000000016</v>
      </c>
      <c r="J17" s="68">
        <f t="shared" si="19"/>
        <v>265937.96460000012</v>
      </c>
      <c r="K17" s="68">
        <f t="shared" si="19"/>
        <v>265937.96460000012</v>
      </c>
      <c r="L17" s="68">
        <f t="shared" si="19"/>
        <v>268880.3096000001</v>
      </c>
      <c r="M17" s="68">
        <f t="shared" si="19"/>
        <v>158069.96009999991</v>
      </c>
      <c r="N17" s="68">
        <f t="shared" si="19"/>
        <v>191373.85759999993</v>
      </c>
      <c r="O17" s="68">
        <f t="shared" si="19"/>
        <v>191373.85759999993</v>
      </c>
      <c r="P17" s="68">
        <f t="shared" si="19"/>
        <v>231567.0156999999</v>
      </c>
      <c r="Q17" s="68">
        <f t="shared" si="19"/>
        <v>199524.12319999994</v>
      </c>
    </row>
    <row r="18" spans="1:17" x14ac:dyDescent="0.3">
      <c r="F18" s="73"/>
      <c r="G18" s="73"/>
    </row>
    <row r="19" spans="1:17" x14ac:dyDescent="0.3">
      <c r="N19" s="69"/>
    </row>
    <row r="21" spans="1:17" x14ac:dyDescent="0.3">
      <c r="E21" s="70"/>
    </row>
    <row r="22" spans="1:17" x14ac:dyDescent="0.3">
      <c r="E22" s="71"/>
    </row>
    <row r="23" spans="1:17" x14ac:dyDescent="0.3">
      <c r="C23" s="46" t="s">
        <v>1003</v>
      </c>
      <c r="E23" s="71"/>
    </row>
    <row r="24" spans="1:17" x14ac:dyDescent="0.3">
      <c r="C24" s="46" t="s">
        <v>1004</v>
      </c>
    </row>
  </sheetData>
  <mergeCells count="15">
    <mergeCell ref="A16:C17"/>
    <mergeCell ref="A1:Q1"/>
    <mergeCell ref="A2:Q2"/>
    <mergeCell ref="A3:Q3"/>
    <mergeCell ref="A14:A15"/>
    <mergeCell ref="B14:C15"/>
    <mergeCell ref="A8:A9"/>
    <mergeCell ref="B8:C9"/>
    <mergeCell ref="A10:A11"/>
    <mergeCell ref="B10:C11"/>
    <mergeCell ref="A12:A13"/>
    <mergeCell ref="B12:C13"/>
    <mergeCell ref="B5:C5"/>
    <mergeCell ref="A6:A7"/>
    <mergeCell ref="B6:C7"/>
  </mergeCells>
  <phoneticPr fontId="4" type="noConversion"/>
  <pageMargins left="0.51181102362204722" right="0.51181102362204722" top="0.78740157480314965" bottom="0.78740157480314965" header="0.31496062992125984" footer="0.31496062992125984"/>
  <pageSetup paperSize="9" scale="53"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DA02BA-8613-4E8A-962B-8971887B803E}">
  <dimension ref="C41:Q48"/>
  <sheetViews>
    <sheetView topLeftCell="A16" zoomScale="85" zoomScaleNormal="85" workbookViewId="0">
      <selection activeCell="S17" sqref="S17"/>
    </sheetView>
  </sheetViews>
  <sheetFormatPr defaultRowHeight="14.5" x14ac:dyDescent="0.35"/>
  <sheetData>
    <row r="41" spans="3:17" x14ac:dyDescent="0.35">
      <c r="Q41">
        <v>939.9</v>
      </c>
    </row>
    <row r="42" spans="3:17" x14ac:dyDescent="0.35">
      <c r="Q42">
        <v>1030.27</v>
      </c>
    </row>
    <row r="43" spans="3:17" x14ac:dyDescent="0.35">
      <c r="Q43">
        <v>939.9</v>
      </c>
    </row>
    <row r="44" spans="3:17" x14ac:dyDescent="0.35">
      <c r="P44" s="74" t="s">
        <v>1051</v>
      </c>
      <c r="Q44" s="74">
        <f>MEDIAN(Q41:Q43)</f>
        <v>939.9</v>
      </c>
    </row>
    <row r="45" spans="3:17" x14ac:dyDescent="0.35">
      <c r="D45">
        <v>389.9</v>
      </c>
    </row>
    <row r="46" spans="3:17" x14ac:dyDescent="0.35">
      <c r="D46">
        <v>381.23</v>
      </c>
    </row>
    <row r="47" spans="3:17" x14ac:dyDescent="0.35">
      <c r="D47">
        <v>398.89</v>
      </c>
    </row>
    <row r="48" spans="3:17" x14ac:dyDescent="0.35">
      <c r="C48" s="74" t="s">
        <v>1051</v>
      </c>
      <c r="D48" s="74">
        <f>MEDIAN(D45:D47)</f>
        <v>389.9</v>
      </c>
    </row>
  </sheetData>
  <pageMargins left="0.511811024" right="0.511811024" top="0.78740157499999996" bottom="0.78740157499999996" header="0.31496062000000002" footer="0.31496062000000002"/>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1CE51F-2CDE-4021-BDA1-0E55D52D2F12}">
  <dimension ref="B2:Z97"/>
  <sheetViews>
    <sheetView topLeftCell="A65" zoomScale="40" zoomScaleNormal="40" workbookViewId="0">
      <selection activeCell="J101" sqref="J101"/>
    </sheetView>
  </sheetViews>
  <sheetFormatPr defaultRowHeight="14.5" x14ac:dyDescent="0.35"/>
  <cols>
    <col min="2" max="2" width="25.453125" bestFit="1" customWidth="1"/>
    <col min="3" max="3" width="15.1796875" bestFit="1" customWidth="1"/>
    <col min="4" max="4" width="14.26953125" bestFit="1" customWidth="1"/>
    <col min="5" max="5" width="22.1796875" bestFit="1" customWidth="1"/>
    <col min="6" max="6" width="12.26953125" bestFit="1" customWidth="1"/>
    <col min="8" max="8" width="26.54296875" bestFit="1" customWidth="1"/>
    <col min="9" max="9" width="12.453125" bestFit="1" customWidth="1"/>
    <col min="10" max="10" width="9.81640625" bestFit="1" customWidth="1"/>
    <col min="11" max="11" width="11.453125" bestFit="1" customWidth="1"/>
    <col min="12" max="12" width="8.26953125" customWidth="1"/>
    <col min="15" max="15" width="6.81640625" customWidth="1"/>
    <col min="16" max="16" width="23.453125" bestFit="1" customWidth="1"/>
    <col min="17" max="17" width="16.7265625" bestFit="1" customWidth="1"/>
    <col min="18" max="18" width="12.453125" bestFit="1" customWidth="1"/>
    <col min="20" max="20" width="11.453125" customWidth="1"/>
    <col min="21" max="21" width="23.453125" bestFit="1" customWidth="1"/>
    <col min="22" max="22" width="8.81640625" bestFit="1" customWidth="1"/>
    <col min="24" max="24" width="12.453125" bestFit="1" customWidth="1"/>
  </cols>
  <sheetData>
    <row r="2" spans="2:12" ht="25" x14ac:dyDescent="0.35">
      <c r="B2" s="310" t="s">
        <v>1080</v>
      </c>
      <c r="C2" s="310"/>
      <c r="D2" s="310"/>
      <c r="E2" s="310"/>
      <c r="F2" s="310"/>
      <c r="H2" s="310" t="s">
        <v>1081</v>
      </c>
      <c r="I2" s="310"/>
      <c r="J2" s="310"/>
      <c r="K2" s="310"/>
    </row>
    <row r="4" spans="2:12" ht="22.5" thickBot="1" x14ac:dyDescent="0.4">
      <c r="B4" s="95" t="s">
        <v>302</v>
      </c>
      <c r="H4" s="95" t="s">
        <v>302</v>
      </c>
    </row>
    <row r="5" spans="2:12" ht="36.5" thickBot="1" x14ac:dyDescent="0.4">
      <c r="B5" s="96" t="s">
        <v>1082</v>
      </c>
      <c r="C5" s="97" t="s">
        <v>1083</v>
      </c>
      <c r="D5" s="97" t="s">
        <v>1084</v>
      </c>
      <c r="E5" s="97" t="s">
        <v>1085</v>
      </c>
      <c r="F5" s="97" t="s">
        <v>1086</v>
      </c>
      <c r="H5" s="311" t="s">
        <v>1087</v>
      </c>
      <c r="I5" s="99" t="s">
        <v>1088</v>
      </c>
      <c r="J5" s="99" t="s">
        <v>1089</v>
      </c>
      <c r="K5" s="99" t="s">
        <v>1090</v>
      </c>
    </row>
    <row r="6" spans="2:12" ht="18.5" thickBot="1" x14ac:dyDescent="0.4">
      <c r="B6" s="313" t="s">
        <v>1091</v>
      </c>
      <c r="C6" s="316" t="s">
        <v>1092</v>
      </c>
      <c r="D6" s="102" t="s">
        <v>1093</v>
      </c>
      <c r="E6" s="102" t="s">
        <v>1094</v>
      </c>
      <c r="F6" s="102">
        <v>51</v>
      </c>
      <c r="H6" s="312"/>
      <c r="I6" s="104" t="s">
        <v>1095</v>
      </c>
      <c r="J6" s="104" t="s">
        <v>1096</v>
      </c>
      <c r="K6" s="104" t="s">
        <v>1097</v>
      </c>
    </row>
    <row r="7" spans="2:12" ht="18.5" thickBot="1" x14ac:dyDescent="0.4">
      <c r="B7" s="314"/>
      <c r="C7" s="317"/>
      <c r="D7" s="102" t="s">
        <v>1098</v>
      </c>
      <c r="E7" s="102" t="s">
        <v>1099</v>
      </c>
      <c r="F7" s="102">
        <v>837</v>
      </c>
      <c r="H7" s="107" t="s">
        <v>1091</v>
      </c>
      <c r="I7" s="108" t="s">
        <v>1100</v>
      </c>
      <c r="J7" s="109">
        <v>28777</v>
      </c>
      <c r="K7" s="108">
        <v>1088</v>
      </c>
    </row>
    <row r="8" spans="2:12" ht="18.5" thickBot="1" x14ac:dyDescent="0.4">
      <c r="B8" s="314"/>
      <c r="C8" s="317"/>
      <c r="D8" s="102" t="s">
        <v>1101</v>
      </c>
      <c r="E8" s="102" t="s">
        <v>1102</v>
      </c>
      <c r="F8" s="102">
        <v>163</v>
      </c>
      <c r="H8" s="110" t="s">
        <v>1103</v>
      </c>
      <c r="I8" s="111" t="s">
        <v>1104</v>
      </c>
      <c r="J8" s="112">
        <v>28777</v>
      </c>
      <c r="K8" s="111">
        <v>1088</v>
      </c>
    </row>
    <row r="9" spans="2:12" ht="18" thickBot="1" x14ac:dyDescent="0.4">
      <c r="B9" s="314"/>
      <c r="C9" s="317"/>
      <c r="D9" s="102" t="s">
        <v>1105</v>
      </c>
      <c r="E9" s="102" t="s">
        <v>1106</v>
      </c>
      <c r="F9" s="102">
        <v>37</v>
      </c>
      <c r="H9" s="113"/>
    </row>
    <row r="10" spans="2:12" ht="22.5" thickBot="1" x14ac:dyDescent="0.4">
      <c r="B10" s="315"/>
      <c r="C10" s="318"/>
      <c r="D10" s="319" t="s">
        <v>1107</v>
      </c>
      <c r="E10" s="320"/>
      <c r="F10" s="118">
        <v>1088</v>
      </c>
      <c r="H10" s="95" t="s">
        <v>1108</v>
      </c>
    </row>
    <row r="11" spans="2:12" ht="36" x14ac:dyDescent="0.35">
      <c r="B11" s="119" t="s">
        <v>1082</v>
      </c>
      <c r="H11" s="98" t="s">
        <v>1087</v>
      </c>
      <c r="I11" s="99" t="s">
        <v>1088</v>
      </c>
      <c r="J11" s="99" t="s">
        <v>1109</v>
      </c>
      <c r="K11" s="99" t="s">
        <v>1089</v>
      </c>
      <c r="L11" s="99" t="s">
        <v>1090</v>
      </c>
    </row>
    <row r="12" spans="2:12" ht="22.5" thickBot="1" x14ac:dyDescent="0.4">
      <c r="B12" s="95" t="s">
        <v>1108</v>
      </c>
      <c r="H12" s="103"/>
      <c r="I12" s="104" t="s">
        <v>1095</v>
      </c>
      <c r="J12" s="104" t="s">
        <v>1095</v>
      </c>
      <c r="K12" s="104" t="s">
        <v>1096</v>
      </c>
      <c r="L12" s="104" t="s">
        <v>1097</v>
      </c>
    </row>
    <row r="13" spans="2:12" ht="18.5" thickBot="1" x14ac:dyDescent="0.4">
      <c r="B13" s="96" t="s">
        <v>1082</v>
      </c>
      <c r="C13" s="97" t="s">
        <v>1083</v>
      </c>
      <c r="D13" s="97" t="s">
        <v>1084</v>
      </c>
      <c r="E13" s="97" t="s">
        <v>1085</v>
      </c>
      <c r="F13" s="97" t="s">
        <v>1086</v>
      </c>
      <c r="H13" s="107" t="s">
        <v>1110</v>
      </c>
      <c r="I13" s="108" t="s">
        <v>1111</v>
      </c>
      <c r="J13" s="108" t="s">
        <v>1112</v>
      </c>
      <c r="K13" s="109">
        <v>28690</v>
      </c>
      <c r="L13" s="108">
        <v>1673</v>
      </c>
    </row>
    <row r="14" spans="2:12" ht="18.5" thickBot="1" x14ac:dyDescent="0.4">
      <c r="B14" s="313" t="s">
        <v>1113</v>
      </c>
      <c r="C14" s="316" t="s">
        <v>1114</v>
      </c>
      <c r="D14" s="102" t="s">
        <v>1115</v>
      </c>
      <c r="E14" s="102" t="s">
        <v>1116</v>
      </c>
      <c r="F14" s="102">
        <v>310</v>
      </c>
      <c r="H14" s="107" t="s">
        <v>35</v>
      </c>
      <c r="I14" s="108" t="s">
        <v>1117</v>
      </c>
      <c r="J14" s="108" t="s">
        <v>1104</v>
      </c>
      <c r="K14" s="108" t="s">
        <v>1118</v>
      </c>
      <c r="L14" s="108">
        <v>823</v>
      </c>
    </row>
    <row r="15" spans="2:12" ht="18.5" thickBot="1" x14ac:dyDescent="0.4">
      <c r="B15" s="314"/>
      <c r="C15" s="318"/>
      <c r="D15" s="319" t="s">
        <v>1107</v>
      </c>
      <c r="E15" s="320"/>
      <c r="F15" s="118">
        <v>310</v>
      </c>
      <c r="H15" s="110" t="s">
        <v>1103</v>
      </c>
      <c r="I15" s="111" t="s">
        <v>1104</v>
      </c>
      <c r="J15" s="111" t="s">
        <v>1112</v>
      </c>
      <c r="K15" s="112">
        <v>29210</v>
      </c>
      <c r="L15" s="111">
        <v>2496</v>
      </c>
    </row>
    <row r="16" spans="2:12" ht="18.5" thickBot="1" x14ac:dyDescent="0.4">
      <c r="B16" s="314"/>
      <c r="C16" s="316" t="s">
        <v>1092</v>
      </c>
      <c r="D16" s="102" t="s">
        <v>1093</v>
      </c>
      <c r="E16" s="102" t="s">
        <v>1119</v>
      </c>
      <c r="F16" s="102">
        <v>9</v>
      </c>
      <c r="H16" s="110" t="s">
        <v>1120</v>
      </c>
      <c r="I16" s="111" t="s">
        <v>1104</v>
      </c>
      <c r="J16" s="111" t="s">
        <v>1104</v>
      </c>
      <c r="K16" s="111" t="s">
        <v>1121</v>
      </c>
      <c r="L16" s="111" t="s">
        <v>1122</v>
      </c>
    </row>
    <row r="17" spans="2:17" ht="18.5" thickBot="1" x14ac:dyDescent="0.4">
      <c r="B17" s="314"/>
      <c r="C17" s="317"/>
      <c r="D17" s="102" t="s">
        <v>1098</v>
      </c>
      <c r="E17" s="102" t="s">
        <v>1123</v>
      </c>
      <c r="F17" s="102">
        <v>1070</v>
      </c>
      <c r="H17" s="321" t="s">
        <v>1124</v>
      </c>
      <c r="I17" s="322"/>
      <c r="J17" s="322"/>
      <c r="K17" s="322"/>
      <c r="L17" s="323"/>
    </row>
    <row r="18" spans="2:17" ht="18" thickBot="1" x14ac:dyDescent="0.4">
      <c r="B18" s="314"/>
      <c r="C18" s="317"/>
      <c r="D18" s="102" t="s">
        <v>1101</v>
      </c>
      <c r="E18" s="102" t="s">
        <v>1125</v>
      </c>
      <c r="F18" s="102">
        <v>240</v>
      </c>
    </row>
    <row r="19" spans="2:17" ht="22.5" thickBot="1" x14ac:dyDescent="0.4">
      <c r="B19" s="314"/>
      <c r="C19" s="317"/>
      <c r="D19" s="102" t="s">
        <v>1105</v>
      </c>
      <c r="E19" s="102" t="s">
        <v>1126</v>
      </c>
      <c r="F19" s="102">
        <v>44</v>
      </c>
      <c r="H19" s="95" t="s">
        <v>359</v>
      </c>
    </row>
    <row r="20" spans="2:17" ht="36.5" thickBot="1" x14ac:dyDescent="0.4">
      <c r="B20" s="315"/>
      <c r="C20" s="318"/>
      <c r="D20" s="319" t="s">
        <v>1107</v>
      </c>
      <c r="E20" s="320"/>
      <c r="F20" s="118">
        <v>1363</v>
      </c>
      <c r="H20" s="98" t="s">
        <v>1087</v>
      </c>
      <c r="I20" s="99" t="s">
        <v>1088</v>
      </c>
      <c r="J20" s="99" t="s">
        <v>1109</v>
      </c>
      <c r="K20" s="99" t="s">
        <v>1089</v>
      </c>
      <c r="L20" s="99" t="s">
        <v>1090</v>
      </c>
    </row>
    <row r="21" spans="2:17" ht="18.5" thickBot="1" x14ac:dyDescent="0.4">
      <c r="B21" s="313" t="s">
        <v>1127</v>
      </c>
      <c r="C21" s="316" t="s">
        <v>1092</v>
      </c>
      <c r="D21" s="102" t="s">
        <v>1093</v>
      </c>
      <c r="E21" s="102" t="s">
        <v>1128</v>
      </c>
      <c r="F21" s="102">
        <v>73</v>
      </c>
      <c r="H21" s="103"/>
      <c r="I21" s="104" t="s">
        <v>1095</v>
      </c>
      <c r="J21" s="104" t="s">
        <v>1095</v>
      </c>
      <c r="K21" s="104" t="s">
        <v>1096</v>
      </c>
      <c r="L21" s="104" t="s">
        <v>1097</v>
      </c>
    </row>
    <row r="22" spans="2:17" ht="18.5" thickBot="1" x14ac:dyDescent="0.4">
      <c r="B22" s="314"/>
      <c r="C22" s="317"/>
      <c r="D22" s="102" t="s">
        <v>1129</v>
      </c>
      <c r="E22" s="102" t="s">
        <v>1130</v>
      </c>
      <c r="F22" s="102">
        <v>2</v>
      </c>
      <c r="H22" s="107" t="s">
        <v>1131</v>
      </c>
      <c r="I22" s="108" t="s">
        <v>1104</v>
      </c>
      <c r="J22" s="108">
        <v>467.5</v>
      </c>
      <c r="K22" s="109">
        <v>30960</v>
      </c>
      <c r="L22" s="108">
        <v>814</v>
      </c>
    </row>
    <row r="23" spans="2:17" ht="18.5" thickBot="1" x14ac:dyDescent="0.4">
      <c r="B23" s="314"/>
      <c r="C23" s="317"/>
      <c r="D23" s="102" t="s">
        <v>1098</v>
      </c>
      <c r="E23" s="102" t="s">
        <v>1132</v>
      </c>
      <c r="F23" s="102">
        <v>556</v>
      </c>
      <c r="H23" s="107" t="s">
        <v>1133</v>
      </c>
      <c r="I23" s="108" t="s">
        <v>1104</v>
      </c>
      <c r="J23" s="108">
        <v>60.69</v>
      </c>
      <c r="K23" s="109">
        <v>6070</v>
      </c>
      <c r="L23" s="108">
        <v>489</v>
      </c>
    </row>
    <row r="24" spans="2:17" ht="18.5" thickBot="1" x14ac:dyDescent="0.4">
      <c r="B24" s="314"/>
      <c r="C24" s="317"/>
      <c r="D24" s="102" t="s">
        <v>1101</v>
      </c>
      <c r="E24" s="102" t="s">
        <v>1134</v>
      </c>
      <c r="F24" s="102">
        <v>75</v>
      </c>
      <c r="H24" s="107" t="s">
        <v>1110</v>
      </c>
      <c r="I24" s="108" t="s">
        <v>1135</v>
      </c>
      <c r="J24" s="108">
        <v>75.95</v>
      </c>
      <c r="K24" s="109">
        <v>25340</v>
      </c>
      <c r="L24" s="108">
        <v>2803</v>
      </c>
    </row>
    <row r="25" spans="2:17" ht="18.5" thickBot="1" x14ac:dyDescent="0.4">
      <c r="B25" s="314"/>
      <c r="C25" s="317"/>
      <c r="D25" s="102" t="s">
        <v>1105</v>
      </c>
      <c r="E25" s="102" t="s">
        <v>1136</v>
      </c>
      <c r="F25" s="102">
        <v>117</v>
      </c>
      <c r="H25" s="107" t="s">
        <v>35</v>
      </c>
      <c r="I25" s="108" t="s">
        <v>1137</v>
      </c>
      <c r="J25" s="108" t="s">
        <v>1104</v>
      </c>
      <c r="K25" s="109">
        <v>8190</v>
      </c>
      <c r="L25" s="108">
        <v>549</v>
      </c>
    </row>
    <row r="26" spans="2:17" ht="18.5" thickBot="1" x14ac:dyDescent="0.4">
      <c r="B26" s="315"/>
      <c r="C26" s="318"/>
      <c r="D26" s="319" t="s">
        <v>1107</v>
      </c>
      <c r="E26" s="320"/>
      <c r="F26" s="118">
        <v>823</v>
      </c>
      <c r="H26" s="110" t="s">
        <v>1103</v>
      </c>
      <c r="I26" s="111" t="s">
        <v>1104</v>
      </c>
      <c r="J26" s="111">
        <f>SUM(J22:J24)</f>
        <v>604.1400000000001</v>
      </c>
      <c r="K26" s="112">
        <v>70560</v>
      </c>
      <c r="L26" s="111">
        <f>SUM(L22:L25)</f>
        <v>4655</v>
      </c>
    </row>
    <row r="27" spans="2:17" ht="18.5" thickBot="1" x14ac:dyDescent="0.4">
      <c r="H27" s="110" t="s">
        <v>1120</v>
      </c>
      <c r="I27" s="111" t="s">
        <v>1104</v>
      </c>
      <c r="J27" s="111" t="s">
        <v>1104</v>
      </c>
      <c r="K27" s="111" t="s">
        <v>1138</v>
      </c>
      <c r="L27" s="111" t="s">
        <v>1139</v>
      </c>
    </row>
    <row r="28" spans="2:17" ht="22.5" thickBot="1" x14ac:dyDescent="0.4">
      <c r="B28" s="95" t="s">
        <v>359</v>
      </c>
      <c r="H28" s="321" t="s">
        <v>1140</v>
      </c>
      <c r="I28" s="322"/>
      <c r="J28" s="322"/>
      <c r="K28" s="322"/>
      <c r="L28" s="323"/>
    </row>
    <row r="29" spans="2:17" ht="18" thickBot="1" x14ac:dyDescent="0.4">
      <c r="B29" s="96" t="s">
        <v>1082</v>
      </c>
      <c r="C29" s="123" t="s">
        <v>1083</v>
      </c>
      <c r="D29" s="123" t="s">
        <v>1084</v>
      </c>
      <c r="E29" s="123" t="s">
        <v>1085</v>
      </c>
      <c r="F29" s="123" t="s">
        <v>1086</v>
      </c>
    </row>
    <row r="30" spans="2:17" ht="22.5" thickBot="1" x14ac:dyDescent="0.4">
      <c r="B30" s="124" t="s">
        <v>1131</v>
      </c>
      <c r="C30" s="324" t="s">
        <v>1141</v>
      </c>
      <c r="D30" s="325"/>
      <c r="E30" s="126">
        <v>467.5</v>
      </c>
      <c r="F30" s="125">
        <v>813.45</v>
      </c>
      <c r="H30" s="95" t="s">
        <v>1142</v>
      </c>
    </row>
    <row r="31" spans="2:17" ht="36.5" thickBot="1" x14ac:dyDescent="0.4">
      <c r="B31" s="100" t="s">
        <v>1133</v>
      </c>
      <c r="C31" s="106" t="s">
        <v>1092</v>
      </c>
      <c r="D31" s="102" t="s">
        <v>1093</v>
      </c>
      <c r="E31" s="102" t="s">
        <v>1143</v>
      </c>
      <c r="F31" s="102">
        <v>350</v>
      </c>
      <c r="H31" s="311" t="s">
        <v>1087</v>
      </c>
      <c r="I31" s="99" t="s">
        <v>1088</v>
      </c>
      <c r="J31" s="99" t="s">
        <v>1109</v>
      </c>
      <c r="K31" s="99" t="s">
        <v>1089</v>
      </c>
      <c r="L31" s="99" t="s">
        <v>1090</v>
      </c>
      <c r="O31" s="127"/>
      <c r="P31" s="127"/>
      <c r="Q31" s="127"/>
    </row>
    <row r="32" spans="2:17" ht="18.5" thickBot="1" x14ac:dyDescent="0.4">
      <c r="B32" s="105"/>
      <c r="C32" s="106"/>
      <c r="D32" s="102" t="s">
        <v>1129</v>
      </c>
      <c r="E32" s="102" t="s">
        <v>1144</v>
      </c>
      <c r="F32" s="102">
        <v>104</v>
      </c>
      <c r="H32" s="312"/>
      <c r="I32" s="104" t="s">
        <v>1095</v>
      </c>
      <c r="J32" s="104" t="s">
        <v>1095</v>
      </c>
      <c r="K32" s="104" t="s">
        <v>1096</v>
      </c>
      <c r="L32" s="104" t="s">
        <v>1097</v>
      </c>
      <c r="O32" s="127"/>
      <c r="P32" s="127"/>
      <c r="Q32" s="127"/>
    </row>
    <row r="33" spans="2:24" ht="18.5" thickBot="1" x14ac:dyDescent="0.4">
      <c r="B33" s="105"/>
      <c r="C33" s="106"/>
      <c r="D33" s="102" t="s">
        <v>1098</v>
      </c>
      <c r="E33" s="102" t="s">
        <v>1145</v>
      </c>
      <c r="F33" s="102">
        <v>35</v>
      </c>
      <c r="H33" s="107" t="s">
        <v>35</v>
      </c>
      <c r="I33" s="108">
        <v>45.12</v>
      </c>
      <c r="J33" s="111" t="s">
        <v>1104</v>
      </c>
      <c r="K33" s="109">
        <v>2210</v>
      </c>
      <c r="L33" s="108">
        <v>267</v>
      </c>
      <c r="O33" s="127"/>
      <c r="P33" s="127"/>
      <c r="Q33" s="127"/>
    </row>
    <row r="34" spans="2:24" ht="18.5" thickBot="1" x14ac:dyDescent="0.4">
      <c r="B34" s="114"/>
      <c r="C34" s="115"/>
      <c r="D34" s="116" t="s">
        <v>1107</v>
      </c>
      <c r="E34" s="117"/>
      <c r="F34" s="118">
        <v>489</v>
      </c>
      <c r="H34" s="128" t="s">
        <v>1110</v>
      </c>
      <c r="I34" s="129">
        <v>45.57</v>
      </c>
      <c r="J34" s="130">
        <v>10.84</v>
      </c>
      <c r="K34" s="131">
        <v>3400</v>
      </c>
      <c r="L34" s="129">
        <v>1078</v>
      </c>
      <c r="O34" s="127"/>
      <c r="P34" s="127"/>
      <c r="Q34" s="127"/>
    </row>
    <row r="35" spans="2:24" ht="18.5" thickBot="1" x14ac:dyDescent="0.4">
      <c r="B35" s="100" t="s">
        <v>1113</v>
      </c>
      <c r="C35" s="101" t="s">
        <v>1114</v>
      </c>
      <c r="D35" s="102" t="s">
        <v>1115</v>
      </c>
      <c r="E35" s="102" t="s">
        <v>1146</v>
      </c>
      <c r="F35" s="102">
        <v>327</v>
      </c>
      <c r="H35" s="110" t="s">
        <v>1103</v>
      </c>
      <c r="I35" s="132" t="s">
        <v>1104</v>
      </c>
      <c r="J35" s="133">
        <f>J34</f>
        <v>10.84</v>
      </c>
      <c r="K35" s="112">
        <f>K33+K34</f>
        <v>5610</v>
      </c>
      <c r="L35" s="111">
        <f>L33+L34</f>
        <v>1345</v>
      </c>
      <c r="O35" s="127"/>
      <c r="P35" s="127"/>
      <c r="Q35" s="127"/>
    </row>
    <row r="36" spans="2:24" ht="18.5" thickBot="1" x14ac:dyDescent="0.4">
      <c r="B36" s="105"/>
      <c r="C36" s="115"/>
      <c r="D36" s="116" t="s">
        <v>1107</v>
      </c>
      <c r="E36" s="117"/>
      <c r="F36" s="118">
        <v>327</v>
      </c>
      <c r="H36" s="134" t="s">
        <v>1120</v>
      </c>
      <c r="I36" s="135" t="s">
        <v>1104</v>
      </c>
      <c r="J36" s="136">
        <f>J35</f>
        <v>10.84</v>
      </c>
      <c r="K36" s="136">
        <v>0.46700000000000003</v>
      </c>
      <c r="L36" s="135">
        <v>129.82</v>
      </c>
      <c r="O36" s="329"/>
      <c r="P36" s="329"/>
      <c r="Q36" s="137"/>
    </row>
    <row r="37" spans="2:24" ht="18.5" thickBot="1" x14ac:dyDescent="0.4">
      <c r="B37" s="105"/>
      <c r="C37" s="101" t="s">
        <v>1092</v>
      </c>
      <c r="D37" s="102" t="s">
        <v>1093</v>
      </c>
      <c r="E37" s="102" t="s">
        <v>1147</v>
      </c>
      <c r="F37" s="102">
        <v>64</v>
      </c>
      <c r="H37" s="138" t="s">
        <v>1148</v>
      </c>
      <c r="I37" s="139"/>
      <c r="J37" s="139"/>
      <c r="K37" s="140"/>
      <c r="L37" s="141"/>
      <c r="O37" s="127"/>
      <c r="P37" s="127"/>
      <c r="Q37" s="127"/>
    </row>
    <row r="38" spans="2:24" ht="18" thickBot="1" x14ac:dyDescent="0.4">
      <c r="B38" s="105"/>
      <c r="C38" s="106"/>
      <c r="D38" s="102" t="s">
        <v>1129</v>
      </c>
      <c r="E38" s="102" t="s">
        <v>1149</v>
      </c>
      <c r="F38" s="102">
        <v>72</v>
      </c>
      <c r="O38" s="329"/>
      <c r="P38" s="329"/>
      <c r="Q38" s="137"/>
    </row>
    <row r="39" spans="2:24" ht="22.5" thickBot="1" x14ac:dyDescent="0.4">
      <c r="B39" s="105"/>
      <c r="C39" s="106"/>
      <c r="D39" s="102" t="s">
        <v>1098</v>
      </c>
      <c r="E39" s="102" t="s">
        <v>1150</v>
      </c>
      <c r="F39" s="102">
        <v>783</v>
      </c>
      <c r="H39" s="95" t="s">
        <v>1151</v>
      </c>
    </row>
    <row r="40" spans="2:24" ht="36.5" thickBot="1" x14ac:dyDescent="0.4">
      <c r="B40" s="105"/>
      <c r="C40" s="106"/>
      <c r="D40" s="102" t="s">
        <v>1101</v>
      </c>
      <c r="E40" s="102" t="s">
        <v>1152</v>
      </c>
      <c r="F40" s="102">
        <v>439</v>
      </c>
      <c r="H40" s="98" t="s">
        <v>1087</v>
      </c>
      <c r="I40" s="99" t="s">
        <v>1088</v>
      </c>
      <c r="J40" s="99" t="s">
        <v>1109</v>
      </c>
      <c r="K40" s="99" t="s">
        <v>1089</v>
      </c>
      <c r="L40" s="99" t="s">
        <v>1090</v>
      </c>
    </row>
    <row r="41" spans="2:24" ht="18.5" thickBot="1" x14ac:dyDescent="0.4">
      <c r="B41" s="105"/>
      <c r="C41" s="106"/>
      <c r="D41" s="102" t="s">
        <v>1105</v>
      </c>
      <c r="E41" s="102" t="s">
        <v>1153</v>
      </c>
      <c r="F41" s="102">
        <v>1118</v>
      </c>
      <c r="H41" s="103"/>
      <c r="I41" s="104" t="s">
        <v>1095</v>
      </c>
      <c r="J41" s="104" t="s">
        <v>1095</v>
      </c>
      <c r="K41" s="104" t="s">
        <v>1096</v>
      </c>
      <c r="L41" s="104" t="s">
        <v>1097</v>
      </c>
    </row>
    <row r="42" spans="2:24" ht="18.5" thickBot="1" x14ac:dyDescent="0.4">
      <c r="B42" s="114"/>
      <c r="C42" s="115"/>
      <c r="D42" s="116" t="s">
        <v>1107</v>
      </c>
      <c r="E42" s="117"/>
      <c r="F42" s="118">
        <v>2476</v>
      </c>
      <c r="H42" s="107" t="s">
        <v>1110</v>
      </c>
      <c r="I42" s="108">
        <v>42.72</v>
      </c>
      <c r="J42" s="108">
        <v>10.06</v>
      </c>
      <c r="K42" s="109">
        <v>3210</v>
      </c>
      <c r="L42" s="108">
        <v>322</v>
      </c>
    </row>
    <row r="43" spans="2:24" ht="18.5" thickBot="1" x14ac:dyDescent="0.4">
      <c r="B43" s="313" t="s">
        <v>1127</v>
      </c>
      <c r="C43" s="316" t="s">
        <v>1092</v>
      </c>
      <c r="D43" s="102" t="s">
        <v>1093</v>
      </c>
      <c r="E43" s="102" t="s">
        <v>1154</v>
      </c>
      <c r="F43" s="102">
        <v>379</v>
      </c>
      <c r="H43" s="107" t="s">
        <v>35</v>
      </c>
      <c r="I43" s="108" t="s">
        <v>1104</v>
      </c>
      <c r="J43" s="108" t="s">
        <v>1104</v>
      </c>
      <c r="K43" s="108" t="s">
        <v>1104</v>
      </c>
      <c r="L43" s="108" t="s">
        <v>1104</v>
      </c>
    </row>
    <row r="44" spans="2:24" ht="18.5" thickBot="1" x14ac:dyDescent="0.4">
      <c r="B44" s="314"/>
      <c r="C44" s="317"/>
      <c r="D44" s="102" t="s">
        <v>1098</v>
      </c>
      <c r="E44" s="102" t="s">
        <v>1155</v>
      </c>
      <c r="F44" s="102">
        <v>99</v>
      </c>
      <c r="H44" s="110" t="s">
        <v>1103</v>
      </c>
      <c r="I44" s="111" t="s">
        <v>1104</v>
      </c>
      <c r="J44" s="111" t="s">
        <v>1156</v>
      </c>
      <c r="K44" s="112">
        <v>3210</v>
      </c>
      <c r="L44" s="111">
        <v>322</v>
      </c>
    </row>
    <row r="45" spans="2:24" ht="18.5" thickBot="1" x14ac:dyDescent="0.4">
      <c r="B45" s="314"/>
      <c r="C45" s="317"/>
      <c r="D45" s="102" t="s">
        <v>1101</v>
      </c>
      <c r="E45" s="102" t="s">
        <v>1157</v>
      </c>
      <c r="F45" s="102">
        <v>71</v>
      </c>
      <c r="H45" s="110" t="s">
        <v>1120</v>
      </c>
      <c r="I45" s="111" t="s">
        <v>1104</v>
      </c>
      <c r="J45" s="111" t="s">
        <v>1104</v>
      </c>
      <c r="K45" s="111" t="s">
        <v>1158</v>
      </c>
      <c r="L45" s="111" t="s">
        <v>1159</v>
      </c>
    </row>
    <row r="46" spans="2:24" ht="18.5" thickBot="1" x14ac:dyDescent="0.4">
      <c r="B46" s="315"/>
      <c r="C46" s="318"/>
      <c r="D46" s="319" t="s">
        <v>1107</v>
      </c>
      <c r="E46" s="320"/>
      <c r="F46" s="118">
        <v>549</v>
      </c>
      <c r="H46" s="120" t="s">
        <v>1160</v>
      </c>
      <c r="I46" s="121"/>
      <c r="J46" s="121"/>
      <c r="K46" s="121"/>
      <c r="L46" s="122"/>
    </row>
    <row r="48" spans="2:24" ht="22.5" thickBot="1" x14ac:dyDescent="0.4">
      <c r="B48" s="95" t="s">
        <v>1142</v>
      </c>
      <c r="H48" s="95" t="s">
        <v>1161</v>
      </c>
      <c r="P48" s="331" t="s">
        <v>1168</v>
      </c>
      <c r="Q48" s="331"/>
      <c r="R48" s="331"/>
      <c r="S48" s="331"/>
      <c r="U48" s="331" t="s">
        <v>1169</v>
      </c>
      <c r="V48" s="331"/>
      <c r="W48" s="331"/>
      <c r="X48" s="331"/>
    </row>
    <row r="49" spans="2:26" ht="36.5" thickBot="1" x14ac:dyDescent="0.4">
      <c r="B49" s="96" t="s">
        <v>1082</v>
      </c>
      <c r="C49" s="97" t="s">
        <v>1083</v>
      </c>
      <c r="D49" s="97" t="s">
        <v>1084</v>
      </c>
      <c r="E49" s="97" t="s">
        <v>1085</v>
      </c>
      <c r="F49" s="97" t="s">
        <v>1086</v>
      </c>
      <c r="H49" s="98" t="s">
        <v>1087</v>
      </c>
      <c r="I49" s="99" t="s">
        <v>1088</v>
      </c>
      <c r="J49" s="99" t="s">
        <v>1089</v>
      </c>
      <c r="K49" s="99" t="s">
        <v>1090</v>
      </c>
      <c r="P49" s="98" t="s">
        <v>1087</v>
      </c>
      <c r="Q49" s="99" t="s">
        <v>1088</v>
      </c>
      <c r="R49" s="99" t="s">
        <v>1089</v>
      </c>
      <c r="S49" s="99" t="s">
        <v>1090</v>
      </c>
      <c r="U49" s="98" t="s">
        <v>1087</v>
      </c>
      <c r="V49" s="99" t="s">
        <v>1088</v>
      </c>
      <c r="W49" s="99" t="s">
        <v>1089</v>
      </c>
      <c r="X49" s="99" t="s">
        <v>1090</v>
      </c>
    </row>
    <row r="50" spans="2:26" ht="18.5" thickBot="1" x14ac:dyDescent="0.4">
      <c r="B50" s="100" t="s">
        <v>1127</v>
      </c>
      <c r="C50" s="101" t="s">
        <v>1092</v>
      </c>
      <c r="D50" s="102" t="s">
        <v>1093</v>
      </c>
      <c r="E50" s="102">
        <v>340.39</v>
      </c>
      <c r="F50" s="102">
        <v>92</v>
      </c>
      <c r="H50" s="103"/>
      <c r="I50" s="104" t="s">
        <v>1095</v>
      </c>
      <c r="J50" s="104" t="s">
        <v>1096</v>
      </c>
      <c r="K50" s="104" t="s">
        <v>1097</v>
      </c>
      <c r="P50" s="103"/>
      <c r="Q50" s="104" t="s">
        <v>1095</v>
      </c>
      <c r="R50" s="104" t="s">
        <v>1096</v>
      </c>
      <c r="S50" s="104" t="s">
        <v>1097</v>
      </c>
      <c r="U50" s="103"/>
      <c r="V50" s="104" t="s">
        <v>1095</v>
      </c>
      <c r="W50" s="104" t="s">
        <v>1096</v>
      </c>
      <c r="X50" s="104" t="s">
        <v>1097</v>
      </c>
    </row>
    <row r="51" spans="2:26" ht="18.5" thickBot="1" x14ac:dyDescent="0.4">
      <c r="B51" s="105"/>
      <c r="C51" s="106"/>
      <c r="D51" s="102" t="s">
        <v>1098</v>
      </c>
      <c r="E51" s="102">
        <v>258.5</v>
      </c>
      <c r="F51" s="102">
        <v>175</v>
      </c>
      <c r="H51" s="107" t="s">
        <v>1091</v>
      </c>
      <c r="I51" s="108">
        <v>102.25</v>
      </c>
      <c r="J51" s="109">
        <v>28.78</v>
      </c>
      <c r="K51" s="108">
        <v>1088</v>
      </c>
      <c r="P51" s="107" t="s">
        <v>1091</v>
      </c>
      <c r="Q51" s="108">
        <f>I51*0.6</f>
        <v>61.349999999999994</v>
      </c>
      <c r="R51" s="109">
        <f>J51*0.6</f>
        <v>17.268000000000001</v>
      </c>
      <c r="S51" s="108">
        <f>K51*0.6</f>
        <v>652.79999999999995</v>
      </c>
      <c r="U51" s="107" t="s">
        <v>1091</v>
      </c>
      <c r="V51" s="108">
        <f>I51-Q51</f>
        <v>40.900000000000006</v>
      </c>
      <c r="W51" s="109">
        <f>J51-R51</f>
        <v>11.512</v>
      </c>
      <c r="X51" s="108">
        <f>K51-S51</f>
        <v>435.20000000000005</v>
      </c>
    </row>
    <row r="52" spans="2:26" ht="18.5" thickBot="1" x14ac:dyDescent="0.4">
      <c r="B52" s="114"/>
      <c r="C52" s="115"/>
      <c r="D52" s="116" t="s">
        <v>1107</v>
      </c>
      <c r="E52" s="117"/>
      <c r="F52" s="118">
        <v>267</v>
      </c>
      <c r="H52" s="110" t="s">
        <v>1103</v>
      </c>
      <c r="I52" s="111" t="s">
        <v>1104</v>
      </c>
      <c r="J52" s="112">
        <v>28.78</v>
      </c>
      <c r="K52" s="111">
        <v>1088</v>
      </c>
      <c r="P52" s="110"/>
      <c r="Q52" s="111"/>
      <c r="R52" s="112"/>
      <c r="S52" s="111"/>
      <c r="U52" s="110"/>
      <c r="V52" s="111"/>
      <c r="W52" s="112"/>
      <c r="X52" s="111"/>
    </row>
    <row r="53" spans="2:26" ht="22.5" thickBot="1" x14ac:dyDescent="0.4">
      <c r="B53" s="313" t="s">
        <v>1113</v>
      </c>
      <c r="C53" s="316" t="s">
        <v>1114</v>
      </c>
      <c r="D53" s="102" t="s">
        <v>1115</v>
      </c>
      <c r="E53" s="102">
        <v>250.38</v>
      </c>
      <c r="F53" s="102">
        <v>43</v>
      </c>
      <c r="H53" s="113"/>
      <c r="V53" s="95"/>
    </row>
    <row r="54" spans="2:26" ht="22.5" thickBot="1" x14ac:dyDescent="0.4">
      <c r="B54" s="314"/>
      <c r="C54" s="318"/>
      <c r="D54" s="319" t="s">
        <v>1107</v>
      </c>
      <c r="E54" s="320"/>
      <c r="F54" s="118">
        <v>43</v>
      </c>
      <c r="H54" s="95" t="s">
        <v>1161</v>
      </c>
      <c r="P54" s="331" t="s">
        <v>1168</v>
      </c>
      <c r="Q54" s="331"/>
      <c r="R54" s="331"/>
      <c r="S54" s="331"/>
      <c r="T54" s="331"/>
      <c r="U54" s="156"/>
      <c r="V54" s="142"/>
      <c r="W54" s="143"/>
      <c r="X54" s="143"/>
      <c r="Y54" s="143"/>
      <c r="Z54" s="143"/>
    </row>
    <row r="55" spans="2:26" ht="36.5" thickBot="1" x14ac:dyDescent="0.4">
      <c r="B55" s="314"/>
      <c r="C55" s="316" t="s">
        <v>1092</v>
      </c>
      <c r="D55" s="102" t="s">
        <v>1129</v>
      </c>
      <c r="E55" s="102">
        <v>5.85</v>
      </c>
      <c r="F55" s="102">
        <v>3</v>
      </c>
      <c r="H55" s="98" t="s">
        <v>1087</v>
      </c>
      <c r="I55" s="99" t="s">
        <v>1088</v>
      </c>
      <c r="J55" s="99" t="s">
        <v>1109</v>
      </c>
      <c r="K55" s="99" t="s">
        <v>1089</v>
      </c>
      <c r="L55" s="99" t="s">
        <v>1090</v>
      </c>
      <c r="P55" s="98" t="s">
        <v>1087</v>
      </c>
      <c r="Q55" s="99" t="s">
        <v>1088</v>
      </c>
      <c r="R55" s="99" t="s">
        <v>1109</v>
      </c>
      <c r="S55" s="99" t="s">
        <v>1089</v>
      </c>
      <c r="T55" s="99" t="s">
        <v>1090</v>
      </c>
      <c r="U55" s="156"/>
    </row>
    <row r="56" spans="2:26" ht="18.5" thickBot="1" x14ac:dyDescent="0.4">
      <c r="B56" s="314"/>
      <c r="C56" s="317"/>
      <c r="D56" s="102" t="s">
        <v>1098</v>
      </c>
      <c r="E56" s="102">
        <v>324.37</v>
      </c>
      <c r="F56" s="102">
        <v>220</v>
      </c>
      <c r="H56" s="103"/>
      <c r="I56" s="104" t="s">
        <v>1095</v>
      </c>
      <c r="J56" s="104" t="s">
        <v>1095</v>
      </c>
      <c r="K56" s="104" t="s">
        <v>1096</v>
      </c>
      <c r="L56" s="104" t="s">
        <v>1097</v>
      </c>
      <c r="P56" s="103"/>
      <c r="Q56" s="104" t="s">
        <v>1095</v>
      </c>
      <c r="R56" s="104" t="s">
        <v>1095</v>
      </c>
      <c r="S56" s="104" t="s">
        <v>1096</v>
      </c>
      <c r="T56" s="104" t="s">
        <v>1097</v>
      </c>
      <c r="U56" s="156"/>
    </row>
    <row r="57" spans="2:26" ht="18.5" thickBot="1" x14ac:dyDescent="0.4">
      <c r="B57" s="314"/>
      <c r="C57" s="317"/>
      <c r="D57" s="102" t="s">
        <v>1101</v>
      </c>
      <c r="E57" s="102">
        <v>299</v>
      </c>
      <c r="F57" s="102">
        <v>317</v>
      </c>
      <c r="H57" s="107" t="s">
        <v>1131</v>
      </c>
      <c r="I57" s="108" t="s">
        <v>1104</v>
      </c>
      <c r="J57" s="108">
        <v>467.5</v>
      </c>
      <c r="K57" s="109">
        <v>31</v>
      </c>
      <c r="L57" s="108">
        <v>813.45</v>
      </c>
      <c r="P57" s="159"/>
      <c r="Q57" s="160">
        <f>I61*0.6</f>
        <v>477.94799999999998</v>
      </c>
      <c r="R57" s="160">
        <f>J61*0.6</f>
        <v>414.69000000000005</v>
      </c>
      <c r="S57" s="161">
        <f>K61*0.6</f>
        <v>65.123999999999995</v>
      </c>
      <c r="T57" s="160">
        <f>L61*0.6</f>
        <v>5286.87</v>
      </c>
      <c r="U57" s="156"/>
    </row>
    <row r="58" spans="2:26" ht="18.5" thickBot="1" x14ac:dyDescent="0.4">
      <c r="B58" s="314"/>
      <c r="C58" s="317"/>
      <c r="D58" s="102" t="s">
        <v>1162</v>
      </c>
      <c r="E58" s="102">
        <v>116.74</v>
      </c>
      <c r="F58" s="102">
        <v>495</v>
      </c>
      <c r="H58" s="107" t="s">
        <v>1133</v>
      </c>
      <c r="I58" s="108" t="s">
        <v>1104</v>
      </c>
      <c r="J58" s="108">
        <v>60.69</v>
      </c>
      <c r="K58" s="109">
        <v>6</v>
      </c>
      <c r="L58" s="108">
        <v>489</v>
      </c>
      <c r="P58" s="159"/>
      <c r="Q58" s="160"/>
      <c r="R58" s="160"/>
      <c r="S58" s="161"/>
      <c r="T58" s="160"/>
      <c r="U58" s="156"/>
    </row>
    <row r="59" spans="2:26" ht="18.5" thickBot="1" x14ac:dyDescent="0.4">
      <c r="B59" s="315"/>
      <c r="C59" s="318"/>
      <c r="D59" s="319" t="s">
        <v>1107</v>
      </c>
      <c r="E59" s="320"/>
      <c r="F59" s="118">
        <v>1035</v>
      </c>
      <c r="H59" s="107" t="s">
        <v>1110</v>
      </c>
      <c r="I59" s="108">
        <f>492.29+I42+I34</f>
        <v>580.58000000000004</v>
      </c>
      <c r="J59" s="108">
        <f>142.06+J34+J42</f>
        <v>162.96</v>
      </c>
      <c r="K59" s="109">
        <v>60.64</v>
      </c>
      <c r="L59" s="108">
        <f>4476+L34+L42</f>
        <v>5876</v>
      </c>
      <c r="P59" s="159"/>
      <c r="Q59" s="160"/>
      <c r="R59" s="160"/>
      <c r="S59" s="161"/>
      <c r="T59" s="160"/>
      <c r="U59" s="156"/>
    </row>
    <row r="60" spans="2:26" ht="18.5" thickBot="1" x14ac:dyDescent="0.4">
      <c r="H60" s="107" t="s">
        <v>35</v>
      </c>
      <c r="I60" s="108">
        <v>216</v>
      </c>
      <c r="J60" s="108" t="s">
        <v>1104</v>
      </c>
      <c r="K60" s="109">
        <v>10.9</v>
      </c>
      <c r="L60" s="108">
        <v>1633</v>
      </c>
      <c r="P60" s="331" t="s">
        <v>1169</v>
      </c>
      <c r="Q60" s="331"/>
      <c r="R60" s="331"/>
      <c r="S60" s="331"/>
      <c r="T60" s="331"/>
      <c r="U60" s="156"/>
    </row>
    <row r="61" spans="2:26" ht="36.5" thickBot="1" x14ac:dyDescent="0.4">
      <c r="B61" s="95" t="s">
        <v>1151</v>
      </c>
      <c r="H61" s="110" t="s">
        <v>1103</v>
      </c>
      <c r="I61" s="111">
        <f>I59+I60</f>
        <v>796.58</v>
      </c>
      <c r="J61" s="111">
        <f>SUM(J57:J59)</f>
        <v>691.15000000000009</v>
      </c>
      <c r="K61" s="112">
        <f>SUM(K57:K60)</f>
        <v>108.54</v>
      </c>
      <c r="L61" s="111">
        <f>SUM(L57:L60)</f>
        <v>8811.4500000000007</v>
      </c>
      <c r="P61" s="98" t="s">
        <v>1087</v>
      </c>
      <c r="Q61" s="99" t="s">
        <v>1088</v>
      </c>
      <c r="R61" s="99" t="s">
        <v>1109</v>
      </c>
      <c r="S61" s="99" t="s">
        <v>1089</v>
      </c>
      <c r="T61" s="99" t="s">
        <v>1090</v>
      </c>
      <c r="U61" s="156"/>
    </row>
    <row r="62" spans="2:26" ht="18.5" thickBot="1" x14ac:dyDescent="0.4">
      <c r="B62" s="144" t="s">
        <v>1082</v>
      </c>
      <c r="C62" s="123" t="s">
        <v>1083</v>
      </c>
      <c r="D62" s="123" t="s">
        <v>1084</v>
      </c>
      <c r="E62" s="123" t="s">
        <v>1085</v>
      </c>
      <c r="F62" s="123" t="s">
        <v>1086</v>
      </c>
      <c r="H62" s="110" t="s">
        <v>1120</v>
      </c>
      <c r="I62" s="111" t="s">
        <v>1104</v>
      </c>
      <c r="J62" s="111" t="s">
        <v>1104</v>
      </c>
      <c r="K62" s="111" t="s">
        <v>1163</v>
      </c>
      <c r="L62" s="111">
        <v>11.52</v>
      </c>
      <c r="P62" s="103"/>
      <c r="Q62" s="104" t="s">
        <v>1095</v>
      </c>
      <c r="R62" s="104" t="s">
        <v>1095</v>
      </c>
      <c r="S62" s="104" t="s">
        <v>1096</v>
      </c>
      <c r="T62" s="104" t="s">
        <v>1097</v>
      </c>
      <c r="U62" s="156"/>
      <c r="V62" s="333"/>
      <c r="W62" s="330"/>
      <c r="X62" s="127"/>
      <c r="Y62" s="127"/>
      <c r="Z62" s="127"/>
    </row>
    <row r="63" spans="2:26" ht="18.5" thickBot="1" x14ac:dyDescent="0.4">
      <c r="B63" s="326" t="s">
        <v>1113</v>
      </c>
      <c r="C63" s="145" t="s">
        <v>1114</v>
      </c>
      <c r="D63" s="146" t="s">
        <v>1115</v>
      </c>
      <c r="E63" s="146">
        <v>318.24</v>
      </c>
      <c r="F63" s="147">
        <v>55</v>
      </c>
      <c r="H63" s="120" t="s">
        <v>1164</v>
      </c>
      <c r="I63" s="121"/>
      <c r="J63" s="121"/>
      <c r="K63" s="121"/>
      <c r="L63" s="122"/>
      <c r="P63" s="163"/>
      <c r="Q63" s="163">
        <f>I61-Q57</f>
        <v>318.63200000000006</v>
      </c>
      <c r="R63" s="163">
        <f>J61-R57</f>
        <v>276.46000000000004</v>
      </c>
      <c r="S63" s="164">
        <f>K61-S57</f>
        <v>43.416000000000011</v>
      </c>
      <c r="T63" s="163">
        <f>L61-T57</f>
        <v>3524.5800000000008</v>
      </c>
      <c r="U63" s="156"/>
      <c r="V63" s="333"/>
      <c r="W63" s="330"/>
      <c r="X63" s="127"/>
      <c r="Y63" s="127"/>
      <c r="Z63" s="127"/>
    </row>
    <row r="64" spans="2:26" ht="18" thickBot="1" x14ac:dyDescent="0.4">
      <c r="B64" s="327"/>
      <c r="C64" s="115"/>
      <c r="D64" s="116" t="s">
        <v>1107</v>
      </c>
      <c r="E64" s="117"/>
      <c r="F64" s="148">
        <v>55</v>
      </c>
      <c r="P64" s="156"/>
      <c r="Q64" s="156"/>
      <c r="R64" s="156"/>
      <c r="S64" s="156"/>
      <c r="T64" s="156"/>
      <c r="U64" s="156"/>
      <c r="V64" s="333"/>
      <c r="W64" s="330"/>
      <c r="X64" s="127"/>
      <c r="Y64" s="127"/>
      <c r="Z64" s="127"/>
    </row>
    <row r="65" spans="2:26" ht="18" thickBot="1" x14ac:dyDescent="0.4">
      <c r="B65" s="327"/>
      <c r="C65" s="101" t="s">
        <v>1092</v>
      </c>
      <c r="D65" s="102" t="s">
        <v>1093</v>
      </c>
      <c r="E65" s="102">
        <v>34.76</v>
      </c>
      <c r="F65" s="149">
        <v>9</v>
      </c>
      <c r="P65" s="156"/>
      <c r="Q65" s="156"/>
      <c r="R65" s="156"/>
      <c r="S65" s="156"/>
      <c r="T65" s="156"/>
      <c r="U65" s="156"/>
      <c r="V65" s="333"/>
      <c r="W65" s="330"/>
      <c r="X65" s="127"/>
      <c r="Y65" s="127"/>
      <c r="Z65" s="127"/>
    </row>
    <row r="66" spans="2:26" ht="18" thickBot="1" x14ac:dyDescent="0.4">
      <c r="B66" s="327"/>
      <c r="C66" s="106"/>
      <c r="D66" s="102" t="s">
        <v>1129</v>
      </c>
      <c r="E66" s="102">
        <v>43.27</v>
      </c>
      <c r="F66" s="149">
        <v>19</v>
      </c>
      <c r="P66" s="332"/>
      <c r="Q66" s="332"/>
      <c r="R66" s="332"/>
      <c r="S66" s="332"/>
      <c r="T66" s="156"/>
      <c r="U66" s="156"/>
      <c r="V66" s="333"/>
      <c r="W66" s="330"/>
      <c r="X66" s="127"/>
      <c r="Y66" s="127"/>
      <c r="Z66" s="127"/>
    </row>
    <row r="67" spans="2:26" ht="18.5" thickBot="1" x14ac:dyDescent="0.4">
      <c r="B67" s="327"/>
      <c r="C67" s="106"/>
      <c r="D67" s="102" t="s">
        <v>1098</v>
      </c>
      <c r="E67" s="102">
        <v>344.61</v>
      </c>
      <c r="F67" s="149">
        <v>234</v>
      </c>
      <c r="P67" s="157"/>
      <c r="Q67" s="158"/>
      <c r="R67" s="158"/>
      <c r="S67" s="158"/>
      <c r="T67" s="158"/>
      <c r="U67" s="156"/>
      <c r="V67" s="333"/>
      <c r="W67" s="330"/>
      <c r="X67" s="127"/>
      <c r="Y67" s="127"/>
      <c r="Z67" s="127"/>
    </row>
    <row r="68" spans="2:26" ht="18.5" thickBot="1" x14ac:dyDescent="0.4">
      <c r="B68" s="327"/>
      <c r="C68" s="106"/>
      <c r="D68" s="102" t="s">
        <v>1101</v>
      </c>
      <c r="E68" s="102">
        <v>4.8</v>
      </c>
      <c r="F68" s="149">
        <v>5</v>
      </c>
      <c r="P68" s="157"/>
      <c r="Q68" s="158"/>
      <c r="R68" s="158"/>
      <c r="S68" s="158"/>
      <c r="T68" s="158"/>
      <c r="U68" s="156"/>
      <c r="V68" s="333"/>
      <c r="W68" s="330"/>
      <c r="X68" s="329"/>
      <c r="Y68" s="329"/>
      <c r="Z68" s="137"/>
    </row>
    <row r="69" spans="2:26" ht="18.5" thickBot="1" x14ac:dyDescent="0.4">
      <c r="B69" s="328"/>
      <c r="C69" s="150"/>
      <c r="D69" s="151" t="s">
        <v>1107</v>
      </c>
      <c r="E69" s="152"/>
      <c r="F69" s="153">
        <v>267</v>
      </c>
      <c r="P69" s="188"/>
      <c r="Q69" s="160"/>
      <c r="R69" s="160"/>
      <c r="S69" s="161"/>
      <c r="T69" s="160"/>
      <c r="U69" s="156"/>
    </row>
    <row r="70" spans="2:26" ht="18" x14ac:dyDescent="0.35">
      <c r="P70" s="159"/>
      <c r="Q70" s="161"/>
      <c r="R70" s="160"/>
      <c r="S70" s="161"/>
      <c r="T70" s="160"/>
      <c r="U70" s="156"/>
    </row>
    <row r="71" spans="2:26" ht="22.5" thickBot="1" x14ac:dyDescent="0.4">
      <c r="B71" s="95" t="s">
        <v>1161</v>
      </c>
      <c r="P71" s="159"/>
      <c r="Q71" s="160"/>
      <c r="R71" s="160"/>
      <c r="S71" s="161"/>
      <c r="T71" s="160"/>
      <c r="U71" s="156"/>
    </row>
    <row r="72" spans="2:26" ht="18.5" thickBot="1" x14ac:dyDescent="0.4">
      <c r="B72" s="96" t="s">
        <v>1082</v>
      </c>
      <c r="C72" s="97" t="s">
        <v>1083</v>
      </c>
      <c r="D72" s="97" t="s">
        <v>1084</v>
      </c>
      <c r="E72" s="97" t="s">
        <v>1085</v>
      </c>
      <c r="F72" s="97" t="s">
        <v>1086</v>
      </c>
      <c r="P72" s="159"/>
      <c r="Q72" s="160"/>
      <c r="R72" s="160"/>
      <c r="S72" s="161"/>
      <c r="T72" s="160"/>
      <c r="U72" s="156"/>
    </row>
    <row r="73" spans="2:26" ht="18.5" thickBot="1" x14ac:dyDescent="0.4">
      <c r="B73" s="100" t="s">
        <v>1091</v>
      </c>
      <c r="C73" s="101" t="s">
        <v>1092</v>
      </c>
      <c r="D73" s="102" t="s">
        <v>1093</v>
      </c>
      <c r="E73" s="102" t="s">
        <v>1094</v>
      </c>
      <c r="F73" s="102">
        <v>51</v>
      </c>
      <c r="P73" s="188"/>
      <c r="Q73" s="160"/>
      <c r="R73" s="160"/>
      <c r="S73" s="161"/>
      <c r="T73" s="162"/>
      <c r="U73" s="156"/>
    </row>
    <row r="74" spans="2:26" ht="18.5" thickBot="1" x14ac:dyDescent="0.4">
      <c r="B74" s="105"/>
      <c r="C74" s="106"/>
      <c r="D74" s="102" t="s">
        <v>1098</v>
      </c>
      <c r="E74" s="102" t="s">
        <v>1099</v>
      </c>
      <c r="F74" s="102">
        <v>837</v>
      </c>
      <c r="J74" s="154"/>
      <c r="P74" s="159"/>
      <c r="Q74" s="161"/>
      <c r="R74" s="160"/>
      <c r="S74" s="161"/>
      <c r="T74" s="162"/>
      <c r="U74" s="156"/>
    </row>
    <row r="75" spans="2:26" ht="18.5" thickBot="1" x14ac:dyDescent="0.4">
      <c r="B75" s="105"/>
      <c r="C75" s="106"/>
      <c r="D75" s="102" t="s">
        <v>1101</v>
      </c>
      <c r="E75" s="102" t="s">
        <v>1102</v>
      </c>
      <c r="F75" s="102">
        <v>163</v>
      </c>
      <c r="J75" s="154"/>
      <c r="P75" s="163"/>
      <c r="Q75" s="163"/>
      <c r="R75" s="163"/>
      <c r="S75" s="163"/>
      <c r="T75" s="163"/>
      <c r="U75" s="156"/>
    </row>
    <row r="76" spans="2:26" ht="18" thickBot="1" x14ac:dyDescent="0.4">
      <c r="B76" s="105"/>
      <c r="C76" s="106"/>
      <c r="D76" s="102" t="s">
        <v>1105</v>
      </c>
      <c r="E76" s="102" t="s">
        <v>1106</v>
      </c>
      <c r="F76" s="102">
        <v>37</v>
      </c>
      <c r="P76" s="156"/>
      <c r="Q76" s="156"/>
      <c r="R76" s="156"/>
      <c r="S76" s="156"/>
      <c r="T76" s="156"/>
      <c r="U76" s="156"/>
    </row>
    <row r="77" spans="2:26" ht="18" thickBot="1" x14ac:dyDescent="0.4">
      <c r="B77" s="114"/>
      <c r="C77" s="106"/>
      <c r="D77" s="155" t="s">
        <v>1107</v>
      </c>
      <c r="E77" s="117"/>
      <c r="F77" s="118">
        <v>1088</v>
      </c>
      <c r="J77" s="330"/>
      <c r="K77" s="330"/>
      <c r="L77" s="127"/>
      <c r="M77" s="127"/>
      <c r="P77" s="156"/>
      <c r="Q77" s="156"/>
      <c r="R77" s="156"/>
      <c r="S77" s="156"/>
      <c r="T77" s="156"/>
      <c r="U77" s="189"/>
    </row>
    <row r="78" spans="2:26" ht="18" thickBot="1" x14ac:dyDescent="0.4">
      <c r="B78" s="124" t="s">
        <v>1131</v>
      </c>
      <c r="C78" s="324" t="s">
        <v>1141</v>
      </c>
      <c r="D78" s="325"/>
      <c r="E78" s="126">
        <v>467.5</v>
      </c>
      <c r="F78" s="125">
        <v>813.45</v>
      </c>
    </row>
    <row r="79" spans="2:26" ht="18" thickBot="1" x14ac:dyDescent="0.4">
      <c r="B79" s="100" t="s">
        <v>1133</v>
      </c>
      <c r="C79" s="106" t="s">
        <v>1092</v>
      </c>
      <c r="D79" s="102" t="s">
        <v>1093</v>
      </c>
      <c r="E79" s="102" t="s">
        <v>1143</v>
      </c>
      <c r="F79" s="102">
        <v>350</v>
      </c>
    </row>
    <row r="80" spans="2:26" ht="18" thickBot="1" x14ac:dyDescent="0.4">
      <c r="B80" s="105"/>
      <c r="C80" s="106"/>
      <c r="D80" s="102" t="s">
        <v>1129</v>
      </c>
      <c r="E80" s="102" t="s">
        <v>1144</v>
      </c>
      <c r="F80" s="102">
        <v>104</v>
      </c>
    </row>
    <row r="81" spans="2:9" ht="18" thickBot="1" x14ac:dyDescent="0.4">
      <c r="B81" s="105"/>
      <c r="C81" s="106"/>
      <c r="D81" s="102" t="s">
        <v>1098</v>
      </c>
      <c r="E81" s="102" t="s">
        <v>1145</v>
      </c>
      <c r="F81" s="102">
        <v>35</v>
      </c>
    </row>
    <row r="82" spans="2:9" ht="18" thickBot="1" x14ac:dyDescent="0.4">
      <c r="B82" s="114"/>
      <c r="C82" s="115"/>
      <c r="D82" s="116" t="s">
        <v>1107</v>
      </c>
      <c r="E82" s="117"/>
      <c r="F82" s="118">
        <v>489</v>
      </c>
    </row>
    <row r="83" spans="2:9" ht="18" thickBot="1" x14ac:dyDescent="0.4">
      <c r="B83" s="100" t="s">
        <v>1113</v>
      </c>
      <c r="C83" s="101" t="s">
        <v>1114</v>
      </c>
      <c r="D83" s="102" t="s">
        <v>1115</v>
      </c>
      <c r="E83" s="102">
        <f>3685.66+E63+E53</f>
        <v>4254.28</v>
      </c>
      <c r="F83" s="102">
        <f>637+F64+F54</f>
        <v>735</v>
      </c>
    </row>
    <row r="84" spans="2:9" ht="18" thickBot="1" x14ac:dyDescent="0.4">
      <c r="B84" s="105"/>
      <c r="C84" s="115"/>
      <c r="D84" s="116" t="s">
        <v>1107</v>
      </c>
      <c r="E84" s="117"/>
      <c r="F84" s="118">
        <f>F83</f>
        <v>735</v>
      </c>
    </row>
    <row r="85" spans="2:9" ht="18" thickBot="1" x14ac:dyDescent="0.4">
      <c r="B85" s="105"/>
      <c r="C85" s="101" t="s">
        <v>1092</v>
      </c>
      <c r="D85" s="102" t="s">
        <v>1093</v>
      </c>
      <c r="E85" s="102">
        <f>269.06+E65</f>
        <v>303.82</v>
      </c>
      <c r="F85" s="102">
        <f>73+F65</f>
        <v>82</v>
      </c>
    </row>
    <row r="86" spans="2:9" ht="18" thickBot="1" x14ac:dyDescent="0.4">
      <c r="B86" s="105"/>
      <c r="C86" s="106"/>
      <c r="D86" s="102" t="s">
        <v>1129</v>
      </c>
      <c r="E86" s="102">
        <f>166.1+E55+E66</f>
        <v>215.22</v>
      </c>
      <c r="F86" s="102">
        <f>72+F66+F55</f>
        <v>94</v>
      </c>
    </row>
    <row r="87" spans="2:9" ht="18" thickBot="1" x14ac:dyDescent="0.4">
      <c r="B87" s="105"/>
      <c r="C87" s="106"/>
      <c r="D87" s="102" t="s">
        <v>1098</v>
      </c>
      <c r="E87" s="102">
        <f>2732.68+E56+E67</f>
        <v>3401.66</v>
      </c>
      <c r="F87" s="102">
        <f>1853+F67+F56</f>
        <v>2307</v>
      </c>
    </row>
    <row r="88" spans="2:9" ht="18" thickBot="1" x14ac:dyDescent="0.4">
      <c r="B88" s="105"/>
      <c r="C88" s="106"/>
      <c r="D88" s="102" t="s">
        <v>1101</v>
      </c>
      <c r="E88" s="102">
        <f>641.25+E57+E68</f>
        <v>945.05</v>
      </c>
      <c r="F88" s="102">
        <f>679+F68+F57</f>
        <v>1001</v>
      </c>
    </row>
    <row r="89" spans="2:9" ht="18" thickBot="1" x14ac:dyDescent="0.4">
      <c r="B89" s="105"/>
      <c r="C89" s="106"/>
      <c r="D89" s="102" t="s">
        <v>1105</v>
      </c>
      <c r="E89" s="102">
        <v>669.41</v>
      </c>
      <c r="F89" s="102">
        <v>1162</v>
      </c>
    </row>
    <row r="90" spans="2:9" ht="18" thickBot="1" x14ac:dyDescent="0.4">
      <c r="B90" s="105"/>
      <c r="C90" s="106"/>
      <c r="D90" s="102" t="s">
        <v>1162</v>
      </c>
      <c r="E90" s="102">
        <f>E58</f>
        <v>116.74</v>
      </c>
      <c r="F90" s="102">
        <f>F58</f>
        <v>495</v>
      </c>
    </row>
    <row r="91" spans="2:9" ht="18" thickBot="1" x14ac:dyDescent="0.4">
      <c r="B91" s="114"/>
      <c r="C91" s="115"/>
      <c r="D91" s="116" t="s">
        <v>1107</v>
      </c>
      <c r="E91" s="117"/>
      <c r="F91" s="118">
        <f>SUM(F85:F90)</f>
        <v>5141</v>
      </c>
      <c r="I91" s="137"/>
    </row>
    <row r="92" spans="2:9" ht="18" thickBot="1" x14ac:dyDescent="0.4">
      <c r="B92" s="100" t="s">
        <v>1127</v>
      </c>
      <c r="C92" s="101" t="s">
        <v>1092</v>
      </c>
      <c r="D92" s="102" t="s">
        <v>1093</v>
      </c>
      <c r="E92" s="102" t="s">
        <v>1165</v>
      </c>
      <c r="F92" s="102">
        <v>544</v>
      </c>
    </row>
    <row r="93" spans="2:9" ht="18" thickBot="1" x14ac:dyDescent="0.4">
      <c r="B93" s="105"/>
      <c r="C93" s="106"/>
      <c r="D93" s="102" t="s">
        <v>1129</v>
      </c>
      <c r="E93" s="102" t="s">
        <v>1130</v>
      </c>
      <c r="F93" s="102">
        <v>2</v>
      </c>
    </row>
    <row r="94" spans="2:9" ht="18" thickBot="1" x14ac:dyDescent="0.4">
      <c r="B94" s="105"/>
      <c r="C94" s="106"/>
      <c r="D94" s="102" t="s">
        <v>1098</v>
      </c>
      <c r="E94" s="102" t="s">
        <v>1166</v>
      </c>
      <c r="F94" s="102">
        <v>830</v>
      </c>
    </row>
    <row r="95" spans="2:9" ht="18" thickBot="1" x14ac:dyDescent="0.4">
      <c r="B95" s="105"/>
      <c r="C95" s="106"/>
      <c r="D95" s="102" t="s">
        <v>1101</v>
      </c>
      <c r="E95" s="102" t="s">
        <v>1167</v>
      </c>
      <c r="F95" s="102">
        <v>146</v>
      </c>
    </row>
    <row r="96" spans="2:9" ht="18" thickBot="1" x14ac:dyDescent="0.4">
      <c r="B96" s="105"/>
      <c r="C96" s="106"/>
      <c r="D96" s="102" t="s">
        <v>1105</v>
      </c>
      <c r="E96" s="102" t="s">
        <v>1136</v>
      </c>
      <c r="F96" s="102">
        <v>117</v>
      </c>
    </row>
    <row r="97" spans="2:6" ht="18" thickBot="1" x14ac:dyDescent="0.4">
      <c r="B97" s="114"/>
      <c r="C97" s="115"/>
      <c r="D97" s="116" t="s">
        <v>1107</v>
      </c>
      <c r="E97" s="117"/>
      <c r="F97" s="118">
        <v>1639</v>
      </c>
    </row>
  </sheetData>
  <mergeCells count="39">
    <mergeCell ref="P66:S66"/>
    <mergeCell ref="P54:T54"/>
    <mergeCell ref="P60:T60"/>
    <mergeCell ref="V62:V68"/>
    <mergeCell ref="W62:W68"/>
    <mergeCell ref="B63:B69"/>
    <mergeCell ref="X68:Y68"/>
    <mergeCell ref="J77:K77"/>
    <mergeCell ref="C78:D78"/>
    <mergeCell ref="O36:P36"/>
    <mergeCell ref="O38:P38"/>
    <mergeCell ref="B43:B46"/>
    <mergeCell ref="C43:C46"/>
    <mergeCell ref="D46:E46"/>
    <mergeCell ref="B53:B59"/>
    <mergeCell ref="C53:C54"/>
    <mergeCell ref="D54:E54"/>
    <mergeCell ref="C55:C59"/>
    <mergeCell ref="D59:E59"/>
    <mergeCell ref="P48:S48"/>
    <mergeCell ref="U48:X48"/>
    <mergeCell ref="H31:H32"/>
    <mergeCell ref="B14:B20"/>
    <mergeCell ref="C14:C15"/>
    <mergeCell ref="D15:E15"/>
    <mergeCell ref="C16:C20"/>
    <mergeCell ref="H17:L17"/>
    <mergeCell ref="D20:E20"/>
    <mergeCell ref="B21:B26"/>
    <mergeCell ref="C21:C26"/>
    <mergeCell ref="D26:E26"/>
    <mergeCell ref="H28:L28"/>
    <mergeCell ref="C30:D30"/>
    <mergeCell ref="B2:F2"/>
    <mergeCell ref="H2:K2"/>
    <mergeCell ref="H5:H6"/>
    <mergeCell ref="B6:B10"/>
    <mergeCell ref="C6:C10"/>
    <mergeCell ref="D10:E10"/>
  </mergeCells>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7</vt:i4>
      </vt:variant>
      <vt:variant>
        <vt:lpstr>Intervalos Nomeados</vt:lpstr>
      </vt:variant>
      <vt:variant>
        <vt:i4>1</vt:i4>
      </vt:variant>
    </vt:vector>
  </HeadingPairs>
  <TitlesOfParts>
    <vt:vector size="8" baseType="lpstr">
      <vt:lpstr>Memória</vt:lpstr>
      <vt:lpstr>Orçamento202411</vt:lpstr>
      <vt:lpstr>CPU</vt:lpstr>
      <vt:lpstr>BDI</vt:lpstr>
      <vt:lpstr>CRONOGRAMA </vt:lpstr>
      <vt:lpstr>cotações</vt:lpstr>
      <vt:lpstr>Proj.Estr</vt:lpstr>
      <vt:lpstr>Orçamento202411!Titulos_de_impressao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Deneb Oliveira</dc:creator>
  <cp:lastModifiedBy>Deneb Oliveira</cp:lastModifiedBy>
  <cp:lastPrinted>2024-11-06T16:27:14Z</cp:lastPrinted>
  <dcterms:created xsi:type="dcterms:W3CDTF">2024-06-19T19:10:08Z</dcterms:created>
  <dcterms:modified xsi:type="dcterms:W3CDTF">2024-11-06T16:32:57Z</dcterms:modified>
</cp:coreProperties>
</file>