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amara\Dropbox\PREFEITURA MUNICIPAL DE QUELUZITO\2025\PROCESSOS LICITATÓRIOS\PROCESSO 81 - CONCORRÊNCIA  - CRECHE\Nova pasta\"/>
    </mc:Choice>
  </mc:AlternateContent>
  <bookViews>
    <workbookView xWindow="0" yWindow="0" windowWidth="19200" windowHeight="6930"/>
  </bookViews>
  <sheets>
    <sheet name="Planilha de quantitativos" sheetId="1" r:id="rId1"/>
    <sheet name="Memória de cálculo" sheetId="2" r:id="rId2"/>
    <sheet name="Memória Auxiliar" sheetId="4" r:id="rId3"/>
    <sheet name="CRONOGRAMA" sheetId="3" r:id="rId4"/>
  </sheets>
  <definedNames>
    <definedName name="_xlnm.Print_Area" localSheetId="0">'Planilha de quantitativos'!$A$1:$G$122</definedName>
  </definedNames>
  <calcPr calcId="162913" calcMode="manual"/>
</workbook>
</file>

<file path=xl/calcChain.xml><?xml version="1.0" encoding="utf-8"?>
<calcChain xmlns="http://schemas.openxmlformats.org/spreadsheetml/2006/main">
  <c r="G121" i="1" l="1"/>
  <c r="G108" i="1"/>
  <c r="G101" i="1"/>
  <c r="G85" i="1"/>
  <c r="G79" i="1"/>
  <c r="G73" i="1"/>
  <c r="G63" i="1"/>
  <c r="G57" i="1"/>
  <c r="G52" i="1"/>
  <c r="G48" i="1"/>
  <c r="G44" i="1"/>
  <c r="G39" i="1"/>
  <c r="G34" i="1"/>
  <c r="G23" i="1"/>
  <c r="G19" i="1"/>
  <c r="G16" i="1"/>
  <c r="G8" i="1"/>
  <c r="E47" i="3"/>
  <c r="I47" i="3"/>
  <c r="J47" i="3"/>
  <c r="E45" i="3"/>
  <c r="C44" i="3"/>
  <c r="E43" i="3"/>
  <c r="C42" i="3"/>
  <c r="E41" i="3"/>
  <c r="G41" i="3"/>
  <c r="C40" i="3"/>
  <c r="E39" i="3"/>
  <c r="C38" i="3"/>
  <c r="E37" i="3"/>
  <c r="C36" i="3"/>
  <c r="E35" i="3"/>
  <c r="G35" i="3"/>
  <c r="C34" i="3"/>
  <c r="E33" i="3"/>
  <c r="H33" i="3"/>
  <c r="C32" i="3"/>
  <c r="E31" i="3"/>
  <c r="C30" i="3"/>
  <c r="E29" i="3"/>
  <c r="G29" i="3"/>
  <c r="C28" i="3"/>
  <c r="E27" i="3"/>
  <c r="I27" i="3"/>
  <c r="C26" i="3"/>
  <c r="E25" i="3"/>
  <c r="C24" i="3"/>
  <c r="E23" i="3"/>
  <c r="C22" i="3"/>
  <c r="E21" i="3"/>
  <c r="C20" i="3"/>
  <c r="E19" i="3"/>
  <c r="C18" i="3"/>
  <c r="E17" i="3"/>
  <c r="G17" i="3"/>
  <c r="C16" i="3"/>
  <c r="E15" i="3"/>
  <c r="C14" i="3"/>
  <c r="E13" i="3"/>
  <c r="C12" i="3"/>
  <c r="D9" i="1"/>
  <c r="D12" i="1"/>
  <c r="D110" i="1"/>
  <c r="G110" i="1"/>
  <c r="D109" i="1"/>
  <c r="D112" i="1"/>
  <c r="G112" i="1"/>
  <c r="G88" i="1"/>
  <c r="G95" i="1"/>
  <c r="G92" i="1"/>
  <c r="D89" i="1"/>
  <c r="G89" i="1"/>
  <c r="D86" i="1"/>
  <c r="G86" i="1"/>
  <c r="D83" i="1"/>
  <c r="G83" i="1"/>
  <c r="D81" i="1"/>
  <c r="G81" i="1"/>
  <c r="D80" i="1"/>
  <c r="D76" i="1"/>
  <c r="D74" i="1"/>
  <c r="D77" i="1"/>
  <c r="G77" i="1"/>
  <c r="D75" i="1"/>
  <c r="G75" i="1"/>
  <c r="D39" i="2"/>
  <c r="D37" i="2"/>
  <c r="D35" i="2"/>
  <c r="D32" i="2"/>
  <c r="D31" i="2"/>
  <c r="D29" i="2"/>
  <c r="D28" i="2"/>
  <c r="D27" i="2"/>
  <c r="D25" i="2"/>
  <c r="D24" i="2"/>
  <c r="D22" i="2"/>
  <c r="D20" i="2"/>
  <c r="D19" i="2"/>
  <c r="D18" i="2"/>
  <c r="D16" i="2"/>
  <c r="D15" i="2"/>
  <c r="D14" i="2"/>
  <c r="D37" i="1"/>
  <c r="G37" i="1"/>
  <c r="D21" i="1"/>
  <c r="G21" i="1"/>
  <c r="D20" i="1"/>
  <c r="D17" i="1"/>
  <c r="D12" i="2"/>
  <c r="D29" i="1"/>
  <c r="G29" i="1"/>
  <c r="G12" i="1"/>
  <c r="D45" i="1"/>
  <c r="G45" i="1"/>
  <c r="G109" i="1"/>
  <c r="D84" i="2"/>
  <c r="D83" i="2"/>
  <c r="D82" i="2"/>
  <c r="D81" i="2"/>
  <c r="D80" i="2"/>
  <c r="D76" i="2"/>
  <c r="D74" i="2"/>
  <c r="G103" i="1"/>
  <c r="D102" i="1"/>
  <c r="G102" i="1"/>
  <c r="D73" i="2"/>
  <c r="D71" i="2"/>
  <c r="D67" i="2"/>
  <c r="C67" i="2"/>
  <c r="D58" i="2"/>
  <c r="D56" i="2"/>
  <c r="D54" i="2"/>
  <c r="D53" i="2"/>
  <c r="D32" i="4"/>
  <c r="D45" i="2"/>
  <c r="D67" i="1"/>
  <c r="G67" i="1"/>
  <c r="G66" i="1"/>
  <c r="D64" i="1"/>
  <c r="G64" i="1"/>
  <c r="D61" i="1"/>
  <c r="G61" i="1"/>
  <c r="D58" i="1"/>
  <c r="G58" i="1"/>
  <c r="D55" i="1"/>
  <c r="G55" i="1"/>
  <c r="D54" i="1"/>
  <c r="G54" i="1"/>
  <c r="D53" i="1"/>
  <c r="G53" i="1"/>
  <c r="D49" i="1"/>
  <c r="G49" i="1"/>
  <c r="D46" i="1"/>
  <c r="G46" i="1"/>
  <c r="D42" i="1"/>
  <c r="G42" i="1"/>
  <c r="D41" i="1"/>
  <c r="G41" i="1"/>
  <c r="D40" i="1"/>
  <c r="G40" i="1"/>
  <c r="D36" i="1"/>
  <c r="G36" i="1"/>
  <c r="D35" i="1"/>
  <c r="G35" i="1"/>
  <c r="D28" i="1"/>
  <c r="G28" i="1"/>
  <c r="D27" i="1"/>
  <c r="G27" i="1"/>
  <c r="D26" i="1"/>
  <c r="G26" i="1"/>
  <c r="D30" i="1"/>
  <c r="G30" i="1"/>
  <c r="D25" i="1"/>
  <c r="G25" i="1"/>
  <c r="D24" i="1"/>
  <c r="G24" i="1"/>
  <c r="C33" i="2"/>
  <c r="C34" i="2"/>
  <c r="D11" i="1"/>
  <c r="G11" i="1"/>
  <c r="G13" i="1"/>
  <c r="G17" i="1"/>
  <c r="E9" i="3"/>
  <c r="G9" i="1"/>
  <c r="G20" i="1"/>
  <c r="E17" i="4"/>
  <c r="C17" i="4"/>
  <c r="C19" i="4"/>
  <c r="K19" i="4"/>
  <c r="O19" i="4"/>
  <c r="H32" i="4"/>
  <c r="U8" i="4"/>
  <c r="U9" i="4"/>
  <c r="U10" i="4"/>
  <c r="U5" i="4"/>
  <c r="Q5" i="4"/>
  <c r="I16" i="4"/>
  <c r="K16" i="4"/>
  <c r="M16" i="4"/>
  <c r="W16" i="4"/>
  <c r="O16" i="4"/>
  <c r="S16" i="4"/>
  <c r="Q16" i="4"/>
  <c r="I11" i="4"/>
  <c r="O11" i="4"/>
  <c r="S11" i="4"/>
  <c r="K11" i="4"/>
  <c r="M11" i="4"/>
  <c r="W11" i="4"/>
  <c r="Q11" i="4"/>
  <c r="I12" i="4"/>
  <c r="Q12" i="4"/>
  <c r="K12" i="4"/>
  <c r="M12" i="4"/>
  <c r="W12" i="4"/>
  <c r="I13" i="4"/>
  <c r="O13" i="4"/>
  <c r="S13" i="4"/>
  <c r="K13" i="4"/>
  <c r="M13" i="4"/>
  <c r="W13" i="4"/>
  <c r="I14" i="4"/>
  <c r="O14" i="4"/>
  <c r="S14" i="4"/>
  <c r="K14" i="4"/>
  <c r="M14" i="4"/>
  <c r="W14" i="4"/>
  <c r="I15" i="4"/>
  <c r="Q15" i="4"/>
  <c r="K15" i="4"/>
  <c r="M15" i="4"/>
  <c r="W15" i="4"/>
  <c r="M9" i="4"/>
  <c r="W9" i="4"/>
  <c r="K9" i="4"/>
  <c r="I9" i="4"/>
  <c r="M8" i="4"/>
  <c r="W8" i="4"/>
  <c r="K8" i="4"/>
  <c r="I8" i="4"/>
  <c r="K5" i="4"/>
  <c r="I5" i="4"/>
  <c r="I17" i="4"/>
  <c r="J46" i="3"/>
  <c r="J44" i="3"/>
  <c r="J42" i="3"/>
  <c r="J40" i="3"/>
  <c r="J38" i="3"/>
  <c r="J36" i="3"/>
  <c r="J34" i="3"/>
  <c r="J32" i="3"/>
  <c r="J30" i="3"/>
  <c r="J28" i="3"/>
  <c r="J26" i="3"/>
  <c r="J24" i="3"/>
  <c r="J22" i="3"/>
  <c r="J20" i="3"/>
  <c r="J18" i="3"/>
  <c r="J16" i="3"/>
  <c r="J14" i="3"/>
  <c r="G116" i="1"/>
  <c r="G115" i="1"/>
  <c r="G114" i="1"/>
  <c r="D119" i="1"/>
  <c r="G119" i="1"/>
  <c r="G118" i="1"/>
  <c r="K10" i="4"/>
  <c r="K7" i="4"/>
  <c r="K6" i="4"/>
  <c r="D91" i="1"/>
  <c r="G91" i="1"/>
  <c r="D82" i="1"/>
  <c r="G82" i="1"/>
  <c r="D71" i="1"/>
  <c r="G71" i="1"/>
  <c r="D70" i="1"/>
  <c r="G70" i="1"/>
  <c r="G14" i="1"/>
  <c r="G10" i="1"/>
  <c r="D7" i="2"/>
  <c r="D6" i="2"/>
  <c r="D99" i="1"/>
  <c r="G99" i="1"/>
  <c r="D98" i="1"/>
  <c r="G98" i="1"/>
  <c r="D97" i="1"/>
  <c r="G97" i="1"/>
  <c r="D87" i="1"/>
  <c r="G87" i="1"/>
  <c r="D9" i="2"/>
  <c r="D11" i="2"/>
  <c r="M6" i="4"/>
  <c r="W6" i="4"/>
  <c r="M7" i="4"/>
  <c r="W7" i="4"/>
  <c r="M10" i="4"/>
  <c r="W10" i="4"/>
  <c r="M5" i="4"/>
  <c r="M17" i="4"/>
  <c r="I6" i="4"/>
  <c r="U6" i="4"/>
  <c r="I7" i="4"/>
  <c r="U7" i="4"/>
  <c r="I10" i="4"/>
  <c r="O10" i="4"/>
  <c r="J8" i="3"/>
  <c r="J10" i="3"/>
  <c r="J12" i="3"/>
  <c r="J6" i="3"/>
  <c r="C10" i="3"/>
  <c r="C8" i="3"/>
  <c r="C6" i="3"/>
  <c r="E80" i="1"/>
  <c r="G111" i="1"/>
  <c r="G90" i="1"/>
  <c r="D94" i="1"/>
  <c r="G94" i="1"/>
  <c r="D93" i="1"/>
  <c r="G93" i="1"/>
  <c r="D96" i="1"/>
  <c r="G96" i="1"/>
  <c r="W17" i="4"/>
  <c r="D28" i="4"/>
  <c r="D38" i="4"/>
  <c r="N38" i="4"/>
  <c r="U17" i="4"/>
  <c r="D36" i="4"/>
  <c r="N36" i="4"/>
  <c r="I19" i="4"/>
  <c r="Q8" i="4"/>
  <c r="Q6" i="4"/>
  <c r="Q17" i="4"/>
  <c r="M22" i="4"/>
  <c r="Q7" i="4"/>
  <c r="O15" i="4"/>
  <c r="S15" i="4"/>
  <c r="Q9" i="4"/>
  <c r="S19" i="4"/>
  <c r="H34" i="4"/>
  <c r="Q14" i="4"/>
  <c r="Q13" i="4"/>
  <c r="O12" i="4"/>
  <c r="S12" i="4"/>
  <c r="O9" i="4"/>
  <c r="O8" i="4"/>
  <c r="Q10" i="4"/>
  <c r="S10" i="4"/>
  <c r="O7" i="4"/>
  <c r="O6" i="4"/>
  <c r="S6" i="4"/>
  <c r="W5" i="4"/>
  <c r="O5" i="4"/>
  <c r="O17" i="4"/>
  <c r="S7" i="4"/>
  <c r="S9" i="4"/>
  <c r="S8" i="4"/>
  <c r="K32" i="4"/>
  <c r="N32" i="4"/>
  <c r="K34" i="4"/>
  <c r="S5" i="4"/>
  <c r="S17" i="4"/>
  <c r="D34" i="4"/>
  <c r="N34" i="4"/>
  <c r="D47" i="2"/>
  <c r="G74" i="1"/>
  <c r="D49" i="2"/>
  <c r="D52" i="2"/>
  <c r="G76" i="1"/>
  <c r="D48" i="2"/>
  <c r="D50" i="2"/>
  <c r="G80" i="1"/>
  <c r="G43" i="3"/>
  <c r="J43" i="3"/>
  <c r="D50" i="1"/>
  <c r="G50" i="1"/>
  <c r="D31" i="1"/>
  <c r="G31" i="1"/>
  <c r="D32" i="1"/>
  <c r="G32" i="1"/>
  <c r="G113" i="1"/>
  <c r="I45" i="3"/>
  <c r="I43" i="3"/>
  <c r="D59" i="1"/>
  <c r="D60" i="1"/>
  <c r="G60" i="1"/>
  <c r="D34" i="2"/>
  <c r="D33" i="2"/>
  <c r="G69" i="1"/>
  <c r="D106" i="1"/>
  <c r="G106" i="1"/>
  <c r="G105" i="1"/>
  <c r="H39" i="3"/>
  <c r="G19" i="3"/>
  <c r="F13" i="3"/>
  <c r="J13" i="3"/>
  <c r="H37" i="3"/>
  <c r="I31" i="3"/>
  <c r="G21" i="3"/>
  <c r="J21" i="3"/>
  <c r="E11" i="3"/>
  <c r="F11" i="3"/>
  <c r="J11" i="3"/>
  <c r="I33" i="3"/>
  <c r="G25" i="3"/>
  <c r="H25" i="3"/>
  <c r="I25" i="3"/>
  <c r="G27" i="3"/>
  <c r="H27" i="3"/>
  <c r="F9" i="3"/>
  <c r="J9" i="3"/>
  <c r="G45" i="3"/>
  <c r="H45" i="3"/>
  <c r="H43" i="3"/>
  <c r="I39" i="3"/>
  <c r="J39" i="3"/>
  <c r="H41" i="3"/>
  <c r="H19" i="3"/>
  <c r="H31" i="3"/>
  <c r="J31" i="3"/>
  <c r="G59" i="1"/>
  <c r="G23" i="3"/>
  <c r="G15" i="3"/>
  <c r="I37" i="3"/>
  <c r="I21" i="3"/>
  <c r="E7" i="3"/>
  <c r="E51" i="3"/>
  <c r="H35" i="3"/>
  <c r="F35" i="3"/>
  <c r="I35" i="3"/>
  <c r="F3" i="3"/>
  <c r="I23" i="3"/>
  <c r="H23" i="3"/>
  <c r="F7" i="3"/>
  <c r="J7" i="3"/>
  <c r="J35" i="3"/>
  <c r="J25" i="3"/>
  <c r="I29" i="3"/>
  <c r="I51" i="3"/>
  <c r="H29" i="3"/>
  <c r="J29" i="3"/>
  <c r="J33" i="3"/>
  <c r="J37" i="3"/>
  <c r="J45" i="3"/>
  <c r="J19" i="3"/>
  <c r="J23" i="3"/>
  <c r="I41" i="3"/>
  <c r="J41" i="3"/>
  <c r="J27" i="3"/>
  <c r="H17" i="3"/>
  <c r="J17" i="3"/>
  <c r="G51" i="3"/>
  <c r="E28" i="3"/>
  <c r="H15" i="3"/>
  <c r="H51" i="3"/>
  <c r="F51" i="3"/>
  <c r="E6" i="3"/>
  <c r="E30" i="3"/>
  <c r="E38" i="3"/>
  <c r="E8" i="3"/>
  <c r="H50" i="3"/>
  <c r="E26" i="3"/>
  <c r="G50" i="3"/>
  <c r="E36" i="3"/>
  <c r="E40" i="3"/>
  <c r="E22" i="3"/>
  <c r="E10" i="3"/>
  <c r="E32" i="3"/>
  <c r="E16" i="3"/>
  <c r="E46" i="3"/>
  <c r="E14" i="3"/>
  <c r="E44" i="3"/>
  <c r="E42" i="3"/>
  <c r="E12" i="3"/>
  <c r="I50" i="3"/>
  <c r="E34" i="3"/>
  <c r="E20" i="3"/>
  <c r="E18" i="3"/>
  <c r="E24" i="3"/>
  <c r="J15" i="3"/>
  <c r="J51" i="3"/>
  <c r="J50" i="3"/>
  <c r="K51" i="3"/>
  <c r="F50" i="3"/>
  <c r="E50" i="3"/>
  <c r="K50" i="3"/>
</calcChain>
</file>

<file path=xl/sharedStrings.xml><?xml version="1.0" encoding="utf-8"?>
<sst xmlns="http://schemas.openxmlformats.org/spreadsheetml/2006/main" count="612" uniqueCount="397">
  <si>
    <t>ITEM</t>
  </si>
  <si>
    <t>DESCRIÇÃO</t>
  </si>
  <si>
    <t>QUANTIDADE</t>
  </si>
  <si>
    <t>UNIDADE</t>
  </si>
  <si>
    <t>PREÇO UNITÁRIO</t>
  </si>
  <si>
    <t>TOTAL</t>
  </si>
  <si>
    <t>PLANILHA ORÇAMENTÁRIA DE CUSTOS</t>
  </si>
  <si>
    <r>
      <t>FOLHA Nº</t>
    </r>
    <r>
      <rPr>
        <sz val="10"/>
        <rFont val="Arial"/>
      </rPr>
      <t>:</t>
    </r>
  </si>
  <si>
    <r>
      <t>DATA</t>
    </r>
    <r>
      <rPr>
        <sz val="10"/>
        <rFont val="Arial"/>
      </rPr>
      <t xml:space="preserve">: </t>
    </r>
  </si>
  <si>
    <r>
      <t>VALIDADE</t>
    </r>
    <r>
      <rPr>
        <sz val="10"/>
        <rFont val="Arial"/>
      </rPr>
      <t>:</t>
    </r>
  </si>
  <si>
    <t>A N E X O   I I</t>
  </si>
  <si>
    <t>m²</t>
  </si>
  <si>
    <t>ml</t>
  </si>
  <si>
    <t>m³</t>
  </si>
  <si>
    <t>Locação da obra</t>
  </si>
  <si>
    <t>Alvenaria e divisões</t>
  </si>
  <si>
    <t>Revestimentos</t>
  </si>
  <si>
    <t>Pisos</t>
  </si>
  <si>
    <t>Pintura</t>
  </si>
  <si>
    <t>Limpeza Geral</t>
  </si>
  <si>
    <t>un.</t>
  </si>
  <si>
    <t>Serviços Preliminares</t>
  </si>
  <si>
    <t>uni.</t>
  </si>
  <si>
    <t xml:space="preserve">LIMPEZA DO TERRENO, CAPINA E QUEIMA                          </t>
  </si>
  <si>
    <t xml:space="preserve">FORNECIMENTO E COLOCAÇÃO DE PLACA DE OBRA EM CHAPA GALVANIZADA (3,00 X 1,50 M) - GOVERNO DO ESTADO       </t>
  </si>
  <si>
    <t>CÓDIGO</t>
  </si>
  <si>
    <t>LOCAÇÃO DA OBRA (GABARITO)</t>
  </si>
  <si>
    <t xml:space="preserve">ESCAVAÇÃO MANUAL DE VALAS H &lt;= 1,5M                                                    </t>
  </si>
  <si>
    <t xml:space="preserve">APILOAMENTO DO FUNDO DE VALAS COM SOQUETE               </t>
  </si>
  <si>
    <t xml:space="preserve">ALVENARIA DE TIJOLO CERÂMICO FURADO E= 15 CM, A REVESTIR                                         </t>
  </si>
  <si>
    <t xml:space="preserve">CHAPISCO COM ARGAMASSA 1:3 CIM AREIA, A COLHER               </t>
  </si>
  <si>
    <t xml:space="preserve">REBOCO C/ ARGAMASSA 1:7 CIM./AREIA                                              </t>
  </si>
  <si>
    <t xml:space="preserve">PINTURA LÁTEX PVA, 2 DEMÃOS SEM MASSA CORRIDA    </t>
  </si>
  <si>
    <t xml:space="preserve">LIMPEZA GERAL DE OBRA </t>
  </si>
  <si>
    <t xml:space="preserve">FORMA E DESFORMA EM MADEIRA DE LEI                                            </t>
  </si>
  <si>
    <t>ARM-AÇO-020</t>
  </si>
  <si>
    <t xml:space="preserve">CORTE, DOBRA E ARMAÇÃO DE AÇO CA-50/60                                                 </t>
  </si>
  <si>
    <t>kg</t>
  </si>
  <si>
    <t>FORMA E DESFORMA DE COMPENSADO RESINADO ESPESSURA 12MM, EXCLUSIVE ESCORAMENTO (3X)</t>
  </si>
  <si>
    <t>ESCORAMENTO TUBULAR CONVENCIONAL TIPO "A" (H=2,11 À 3,20 M) C/ ACESSÓRIOS PARA LAJES E VIGAS MACIÇAS, EXCLUSIVE TRANSPORTE E MONTAGEM (ALUGUEL MENSAL)</t>
  </si>
  <si>
    <t>Cintamentos e vergas</t>
  </si>
  <si>
    <t xml:space="preserve">VERGAS RETAS CONCRETO ARMADO FCK= 15 MPA                     </t>
  </si>
  <si>
    <t xml:space="preserve">EMBOÇO C/ ARGAMASSA 1:6 CIM./AREIA                                              </t>
  </si>
  <si>
    <t>REV-AZU-010</t>
  </si>
  <si>
    <t xml:space="preserve">REVESTIMENTO COM AZULEJO BRANCO 15 X 15 CM, JUNTA A PRUMO, ASSENTADO COM ARGAMASSA PRÉ-FABRICADA, INCLUSIVE REJUNTAMENTO                            </t>
  </si>
  <si>
    <t xml:space="preserve">PINTURA ÓLEO/ESMALTE, 2 DEMÃOS EM ESQUADRIAS DE FERRO             </t>
  </si>
  <si>
    <t xml:space="preserve">PINTURA ÓLEO/ESMALTE, 2 DEMÃOS EM ESQUADRIA MADEIRA SEM MASSA         </t>
  </si>
  <si>
    <t xml:space="preserve">LAJE DE TRANSIÇÃO E= 8CM, SEM JUNTA, FCK=10MPA (MANUAL)                        </t>
  </si>
  <si>
    <t xml:space="preserve">CONTRAPISO DESEMPENADO, C/ARGAMASSA 1:3, SEM JUNTA E= 2,0 CM                                                    </t>
  </si>
  <si>
    <t xml:space="preserve">CONTRAPISO DESEMPENADO, C/ARGAMASSA 1:3, SEM JUNTA E= 2,5CM                                                     </t>
  </si>
  <si>
    <t xml:space="preserve">PISO CERÂMICO PEI-5 ANTIDERRAPANTE (PREÇO MÉDIO), ASSENTADO COM ARGAMASSA PRÉ-FABRICADA, INCLUSIVE REJUNTAMENTO                                        </t>
  </si>
  <si>
    <t>Coberturas</t>
  </si>
  <si>
    <t xml:space="preserve">ENGRADAMENTO PARA TELHADO DE FIBROCIMENTO ONDULADA               </t>
  </si>
  <si>
    <t xml:space="preserve">COBERTURA EM TELHA DE FIBROCIMENTO ONDULADA E= 8 MM                                             </t>
  </si>
  <si>
    <t>Instalações Hidro-sanitárias</t>
  </si>
  <si>
    <t>PONTO DE ESGOTO COM TUBO DE PVC RÍGIDO SOLDÁVEL DE 40 MM (LAVATORIOS, MICTÓRIOS, RALOS SIFONADOS, ETC.)</t>
  </si>
  <si>
    <t>PONTO DE ESGOTO COM TUBO DE PVC RÍGIDO SOLDÁVEL DE 100 MM (VASO SANITÁRIO)</t>
  </si>
  <si>
    <t>PONTO DE ÁGUA FRIA EMBUTIDO, C/ MATERIAL PVC RÍGIDO SOLDÁVEL</t>
  </si>
  <si>
    <t>pt</t>
  </si>
  <si>
    <t xml:space="preserve">CAIXA D'ÁGUA DE POLIETILENO C/ TAMPA 1000L                   </t>
  </si>
  <si>
    <t>TORNEIRA PARA LAVATÓRIO CROMADA 1194</t>
  </si>
  <si>
    <t xml:space="preserve">CHUVEIRO-ELÉTRICO CROMADO 1/2" </t>
  </si>
  <si>
    <t>CUBA DE LOUÇA BRANCA DE EMBUTIR, OVAL, INCLUSIVE VÁLVULA, SIFÃO E LIGAÇÕES CROMADAS</t>
  </si>
  <si>
    <t xml:space="preserve">VASO SANITÁRIO LOUÇA BRANCA COM CAIXA ACOPLADA </t>
  </si>
  <si>
    <t xml:space="preserve">ASSENTO BRANCO PARA VASO </t>
  </si>
  <si>
    <t>PAPELEIRA DE LOUÇA BRANCA</t>
  </si>
  <si>
    <t>SABONETEIRA LOUÇA BRANCA</t>
  </si>
  <si>
    <t>Divisórias e bancadas</t>
  </si>
  <si>
    <t xml:space="preserve">DIVISÓRIA EM ARDÓSIA E=3CM, INCLUSIVE FERRAGENS EM LATÃO CROMADO                                                           </t>
  </si>
  <si>
    <t>BANCADA EM ARDÓSIA ESP. = 3 CM, L = 55 CM, APOIADA EM CONSOLE DE METALON</t>
  </si>
  <si>
    <t>Vidros e espelhos</t>
  </si>
  <si>
    <t xml:space="preserve">VIDRO COMUM LISO INCOLOR, E= 4MM, COLOCADA                                    </t>
  </si>
  <si>
    <t>Esquadrias</t>
  </si>
  <si>
    <t>PORTA DE ABRIR, MADEIRA DE LEI PRANCHETA PARA PINTURA COMPLETA 80 X 210 CM,COM FERRAGENS EM FERRO LATONADO</t>
  </si>
  <si>
    <t xml:space="preserve">FORNECIMENTO E ASSENTAMENTO DE JANELA BASCULANTE DE FERRO                                         </t>
  </si>
  <si>
    <t>Águas Pluviais</t>
  </si>
  <si>
    <t>CALHA DE CHAPA GALVANIZADA Nº. 22 GSG, DESENV.=50 CM</t>
  </si>
  <si>
    <t xml:space="preserve">RUFO E CONTRA-RUFO DE CHAPA GALVANIZADA Nº24, DESENV.=25CM      </t>
  </si>
  <si>
    <t>CONDUTOR DE AP DO TELHADO EM TUBO PVC ESGOTO P, INCLUSIVE CONEXÕES E SUPORTES, 100 MM</t>
  </si>
  <si>
    <t>PONTO DE LUZ EMBUTIDO, POR UNIDADE</t>
  </si>
  <si>
    <t>TOMADA DE EMBUTIR</t>
  </si>
  <si>
    <t>LUMINÁRIA CHANFRADA PARA LÂMPADA FLUORESCENTE 2X32W OU 2X40W</t>
  </si>
  <si>
    <t xml:space="preserve">REATOR DUPLO, A.F.P PARTIDA RÁPIDA 2X32W-127V                </t>
  </si>
  <si>
    <t xml:space="preserve">LÂMPADA FLUORESCENTE TLDRS 32/ 84-32W-G13                    </t>
  </si>
  <si>
    <t>MEMÓRIA DE CÁLCULO DE QUANTITATIVOS</t>
  </si>
  <si>
    <t>FÓRMULAS</t>
  </si>
  <si>
    <t>Terraplanagem/ Trabalhos em terra</t>
  </si>
  <si>
    <t>Fundação</t>
  </si>
  <si>
    <t>Estrutura de Concreto</t>
  </si>
  <si>
    <t>m³/mês</t>
  </si>
  <si>
    <t>m</t>
  </si>
  <si>
    <t>Instalações Elétricas</t>
  </si>
  <si>
    <t xml:space="preserve">CONCRETO ESTRUTURAL USINADO FCK &gt;=18,0 MPA, BRITA 1                                                   </t>
  </si>
  <si>
    <t>Laje</t>
  </si>
  <si>
    <t>Cintamentos, vergas e contra vergas</t>
  </si>
  <si>
    <t>BD1:</t>
  </si>
  <si>
    <t>TOTAL  COM BDI</t>
  </si>
  <si>
    <t>ED-49618</t>
  </si>
  <si>
    <t xml:space="preserve">FORNECIMENTO DE CONCRETO ESTRUTURAL, PREPARADO EM OBRA, COM FCK 20MPA, INCLUSIVE LANÇAMENTO, ADENSAMENTO E ACABAMENTO                                             </t>
  </si>
  <si>
    <t>ED-16660</t>
  </si>
  <si>
    <t>ED-17989</t>
  </si>
  <si>
    <t>ED-51107</t>
  </si>
  <si>
    <t xml:space="preserve">ESCAVAÇÃO MANUAL DE VALA COM PROFUNDIDADE MENOR OU IGUAL A 1,5M, INCLUSIVE DESCARGA LATERAL                                             </t>
  </si>
  <si>
    <t>ED-51093</t>
  </si>
  <si>
    <t xml:space="preserve">APILOAMENTO MANUAL EM FUNDO DE VALA COM SOQUETE, EXCLUSIVE ESCAVAÇÃO        </t>
  </si>
  <si>
    <t>ED-49810</t>
  </si>
  <si>
    <t xml:space="preserve">FÔRMA E DESFORMA PARA VIGA-CINTA/ BLOCO COM TÁBUA E SARRAFO, REAPROVEITAMENTO (3X) (FUNDAÇÃO)
MICRAS, INCLUSIVE FORNECIMENTO                                      </t>
  </si>
  <si>
    <t>ED-48298</t>
  </si>
  <si>
    <t xml:space="preserve">CORTE, DOBRA E MONTAGEM DE AÇO CA-50/60, INCLUSIVE ESPAÇADOR                                            </t>
  </si>
  <si>
    <t>m²/mês</t>
  </si>
  <si>
    <t>ED-28551</t>
  </si>
  <si>
    <t>CONDUTOR DE ÁGUAS PLUVIAIS RETANGULAR EM AÇO GALVANIZADO, DIMENSÃO (43X85)MM, , ESP. 0,43MM (GSG-28), INCLUSIVE CONEXÕES E SUPORTES</t>
  </si>
  <si>
    <t>ED-50588</t>
  </si>
  <si>
    <t>ED-50568</t>
  </si>
  <si>
    <t xml:space="preserve">CONTRAPISO DESEMPENADO COM
ARGAMASSA, TRAÇO 1:3 (CIMENTO E AREIA), ESP. 30MM, INCLUSIVE ARGAMASSA COM PREPARO MECANIZADO                                           </t>
  </si>
  <si>
    <t>ED-50753</t>
  </si>
  <si>
    <t xml:space="preserve">REVESTIMENTO COM PORCELANATO APLICADO
EM PISO, ACABAMENTO ESMALTADO ACETINADO, AMBIENTE
INTERNO/EXTERNO, PADRÃO EXTRA, BORDA RETIFICADA, DIMENSÃO DA PEÇA (45X45)CM, ASSENTAMENTO COM ARGAMASSA INDUSTRIALIZADA, INCLUSIVE REJUNTAMENTO                                   </t>
  </si>
  <si>
    <t>ED-51002</t>
  </si>
  <si>
    <t xml:space="preserve">SOLEIRA DE GRANITO, NA COR CINZA ANDORINHA , ESP. 2CM, ACABAMENTO POLIDO, ASSENTAMENTO COM ARGAMASSA INDUSTRIALIZADA, INCLUSIVE REJUNTAMENTO                                  </t>
  </si>
  <si>
    <t xml:space="preserve">LAJE DE TRANSIÇÃO EM CONCRETO PREPARADO EM OBRA COM BETONEIRA COM FCK DE 10MPA, ESP. 5CM, EXCLUSIVE ARMAÇÃO, INCLUSIVE ACABAMENTO SARRAFEADO                  </t>
  </si>
  <si>
    <t>ED-48232</t>
  </si>
  <si>
    <t xml:space="preserve">ALVENARIA DE VEDAÇÃO COM TIJOLO CERÂMICO FURADO, ESP. 14CM, PARA REVESTIMENTO, INCLUSIVE ARGAMASSA PARA ASSENTAMENTO                                      </t>
  </si>
  <si>
    <t>ED-9903</t>
  </si>
  <si>
    <t xml:space="preserve">VERGA OU CONTRAVERGA EM CONCRETO
ESTRUTURAL PARA VÃOS DE ATÉ 150CM, PREPARADO EM OBRA COM BETONEIRA, CONTROLE "A", COM FCK 20 MPA, MOLDADA IN LOCO, INCLUSIVE ARMAÇÃO               </t>
  </si>
  <si>
    <t>PORTA DE MADEIRA COMPLETA, DIMENSÃO ( 80X210)CM, TIPO DE ABRIR, UMA (1) FOLHA, ACABAMENTO NATURAL PARA PINTURA/VERNIZ, TIPO PRANCHETA/SARRAFEADA, INCLUSIVE MARCO, ALIZAR E FERRAGENS, EXCLUSIVE PINTURA/VERNIZSEMISSÓLIDO [PRANCHETA/SARRAFEADA]</t>
  </si>
  <si>
    <t>ED-49603</t>
  </si>
  <si>
    <t>ED-50954</t>
  </si>
  <si>
    <t xml:space="preserve">FORNECIMENTO DE JANELA BASCULANTE DE FERRO, INCLUSIVE ASSENTAMENTO, FERRAGENS E ACESSÓRIOS                                </t>
  </si>
  <si>
    <t>ED-50727</t>
  </si>
  <si>
    <t>CHAPISCO COM ARGAMASSA, TRAÇO 1:3 (
CIMENTO E AREIA), ESP. 5MM, APLICADO EM ALVENARIA/ESTRUTURA DE CONCRETO COM COLHER, INCLUSIVE ARGAMASSA COM PREPARO MECANIZADO</t>
  </si>
  <si>
    <t>ED-50732</t>
  </si>
  <si>
    <t xml:space="preserve">EMBOÇO COM ARGAMASSA, TRAÇO 1:6 (CIMENTO E AREIA), ESP. 20MM, APLICAÇÃO MANUAL, INCLUSIVE ARGAMASSA COM PREPARO MECANIZADO, EXCLUSIVE CHAPISCO                                      </t>
  </si>
  <si>
    <t>ED-50759</t>
  </si>
  <si>
    <t xml:space="preserve">REBOCO COM ARGAMASSA, TRAÇO 1:7 (CIMENTO
E AREIA), ESP. 20MM, APLICAÇÃO MANUAL, INCLUSIVE ARGAMASSA
COM PREPARO MECANIZADO, EXCLUSIVE CHAPISCO                                      </t>
  </si>
  <si>
    <t>ED-50498</t>
  </si>
  <si>
    <t>PINTURA LÁTEX (PVA) EM PAREDE, DUAS (2) DEMÃOS, COM APLICAÇÃO MANUAL, EXCLUSIVE SELADOR ACRÍLICO E MASSA ACRÍLICA/CORRIDA (PVA)</t>
  </si>
  <si>
    <t>ED-50514</t>
  </si>
  <si>
    <t>PREPARAÇÃO PARA EMASSAMENTO OU PINTURA ( LÁTEX/ACRÍLICA) EM PAREDE, INCLUSIVE UMA (1) DEMÃO DE SELADOR ACRÍLICO</t>
  </si>
  <si>
    <t>ED-14800</t>
  </si>
  <si>
    <t xml:space="preserve">PINTURA ESMALTE BASE ÁGUA EM SUPERFÍCIES
METÁLICAS, TRÊS (3) DEMÃOS, COM APLICAÇÃO MANUAL, EXCLUSIVE FUNDO ANTICORROSIVO E PREPARAÇÃO DA SUPERFÍCIE COM LIXAMENTO      </t>
  </si>
  <si>
    <t>ED-14801</t>
  </si>
  <si>
    <t xml:space="preserve">PINTURA ESMALTE BASE ÁGUA EM SUPERFÍCIE
DE MADEIRA, TRÊS (3) DEMÃOS, COM APLICAÇÃO MANUAL, EXCLUSIVE FUNDO NIVELADOR E MASSA A ÓLEO, INCLUSIVE PREPARAÇÃO DA SUPERFÍCIE COM LIXAMENTO   </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</si>
  <si>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</si>
  <si>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</si>
  <si>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</si>
  <si>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</si>
  <si>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</si>
  <si>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</si>
  <si>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ED-49936</t>
  </si>
  <si>
    <t xml:space="preserve">CAIXA D'ÁGUA DE POLIETILENO, CAPACIDADE DE
1.000L, INCLUSIVE TAMPA, TORNEIRA DE BOIA, EXTRAVASOR, TUBO DE LIMPEZA E ACESSÓRIOS, EXCLUSIVE TUBULAÇÃO DE ENTRADA/ SAÍDA DE ÁGUA           </t>
  </si>
  <si>
    <t>ED-50329</t>
  </si>
  <si>
    <t>TORNEIRA METÁLICA PARA LAVATÓRIO,
FECHAMENTO AUTOMÁTICO, ACABAMENTO CROMADO, COM AREJADOR, APLICAÇÃO DE MESA, INCLUSIVE ENGATE FLEXÍVEL METÁLICO</t>
  </si>
  <si>
    <t>ED-16344</t>
  </si>
  <si>
    <t>CHUVEIRO ELÉTRICO BRANCO, TENSÃO 127V/220V
, POTÊNCIA 4600W/5500W, INCLUSIVE BRAÇO/CANO</t>
  </si>
  <si>
    <t>ED-50279</t>
  </si>
  <si>
    <t>CUBA DE LOUÇA BRANCA DE EMBUTIR, FORMATO
OVAL, INCLUSIVE VÁLVULA DE ESCOAMENTO DE METAL COM ACABAMENTO CROMADO, SIFÃO DE METAL TIPO COPO COM ACABAMENTO CROMADO</t>
  </si>
  <si>
    <t>ED-50297</t>
  </si>
  <si>
    <t>BACIA SANITÁRIA (VASO) DE LOUÇA COM CAIXA
ACOPLADA, COR BRANCA, INCLUSIVE ACESSÓRIOS DE FIXAÇÃO/ VEDAÇÃO, ENGATE FLEXÍVEL METÁLICO E REJUNTAMENTO, EXCLUSIVE ASSENTO</t>
  </si>
  <si>
    <t>ED-48156</t>
  </si>
  <si>
    <t>ASSENTO PLÁSTICO PARA BACIA SANITÁRIA, NA COR BRANCA, PADRÃO POPULAR, INCLUSIVE ACESSÓRIOS PARA FIXAÇÃO</t>
  </si>
  <si>
    <t>ED-48187</t>
  </si>
  <si>
    <t>SABONETEIRA EM AÇO INOX, ACABAMENTO POLIDO, TIPO CONCHA, DE SOBREPOR, INCLUSIVE ACESSÓRIOS PARA FIXAÇÃO</t>
  </si>
  <si>
    <t>Serviço: ED-48179</t>
  </si>
  <si>
    <t>PAPELEIRA DE LOUÇA COM ROLETE, NA COR BRANCA, ASSENTAMENTO COM ARGAMASSA INDUSTRIALIZADA, INCLUSIVE REJUNTAMENTO</t>
  </si>
  <si>
    <t>ED-48532</t>
  </si>
  <si>
    <t xml:space="preserve">DIVISÓRIA EM ARDÓSIA, ESP. 3CM, INCLUSIVE INSTALAÇÃO, FERRAGENS EM LATÃO CROMADO E ACESSÓRIOS                                       </t>
  </si>
  <si>
    <t>ED-15823</t>
  </si>
  <si>
    <t xml:space="preserve">VIDRO COMUM TRANSPARENTE INCOLOR, ESP.
4MM, INCLUSIVE FORNECIMENTO, EXCLUSIVE CAIXILHO/PERFIL, VEDAÇÃO COM GUARNIÇÃO/GAXETA OU APLICAÇÃO DE MASSA DE VIDRACEIRO                           </t>
  </si>
  <si>
    <t>ED-50227</t>
  </si>
  <si>
    <t>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</si>
  <si>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ED-50232</t>
  </si>
  <si>
    <t>PONTO DE EMBUTIR PARA UMA (1) TOMADA PADRÃO, TRÊS (3)POLOS (2P+T/10A-250V), COM PLACA 4"X2" DE UM (1) POSTO, COMELETRODUTO FLEXÍVEL CORRUGADO, ANTI-CHAMA, DN 25MM (3/4"), EMBUTIDO NA ALVENARIA E CABO DE COBRE FLEXÍVEL,CLASSE 5, ISOLAMENTO TIPO LSHF/ATOX, NÃO HALOGENADO, SEÇÃO 2,5MM2 (70°C-450/750V), COM DISTÂNCIA DE ATÉ DEZ (10) METROS DO PONTO DE DERIVAÇÃO, INCLUSIVE CAIXA DE LIGAÇÃO, SUPORTE E FIXAÇÃO DO ELETRODUTO COM ENCHIMENTO DO RASGO NA ALVENARIA/CONCRETO COM ARGAMASSA</t>
  </si>
  <si>
    <t>ED-14179</t>
  </si>
  <si>
    <t>QUADRO DE DISTRIBUIÇÃO DE EMBUTIR EM PVC, PARA 8 DISJUNTORES DIN, INCLUSIVE BARRAMENTOS NEUTRO/TERRA, EXCLUSIVE BARRAMENTO DE FASE</t>
  </si>
  <si>
    <t>ED-13338</t>
  </si>
  <si>
    <t>LUMINÁRIA COMERCIAL CHANFRADA DE
SOBREPOR COMPLETA, PARA DUAS (2) LÂMPADAS TUBULARES LED 2X18W-ØT8, TEMPERATURA DA COR 6500K, FORNECIMENTO E INSTALAÇÃO, INCLUSIVE BASE E LÂMPADAS</t>
  </si>
  <si>
    <t>ED-50266</t>
  </si>
  <si>
    <t>LIMPEZA FINAL PARA ENTREGA DA OBRA</t>
  </si>
  <si>
    <t>CRONOGRAMA FÍSICO-FINANCEIRO</t>
  </si>
  <si>
    <t xml:space="preserve">VALOR DO CONVÊNIO: </t>
  </si>
  <si>
    <t>ETAPAS/DESCRIÇÃO</t>
  </si>
  <si>
    <t>FÍSICO/ FINANCEIRO</t>
  </si>
  <si>
    <t>TOTAL  ETAPAS</t>
  </si>
  <si>
    <t>MÊS 1</t>
  </si>
  <si>
    <t>MÊS 2</t>
  </si>
  <si>
    <t>MÊS 3</t>
  </si>
  <si>
    <t>MÊS 4</t>
  </si>
  <si>
    <t>Físico %</t>
  </si>
  <si>
    <t>Financeiro</t>
  </si>
  <si>
    <t xml:space="preserve"> </t>
  </si>
  <si>
    <t>Observações:</t>
  </si>
  <si>
    <t>Carimbo e assinatura do engenheiro responsável técnico pela elaboração do cronograma</t>
  </si>
  <si>
    <t>CREA</t>
  </si>
  <si>
    <t>Carimbo e assinatura do prefeito</t>
  </si>
  <si>
    <t>PREFEITURA: MUNICIPAL DE QUELUZITO</t>
  </si>
  <si>
    <t>Trabalhos em terra</t>
  </si>
  <si>
    <t>1.1</t>
  </si>
  <si>
    <t>1.2</t>
  </si>
  <si>
    <t>2.1</t>
  </si>
  <si>
    <t>3.1</t>
  </si>
  <si>
    <t>3.2</t>
  </si>
  <si>
    <t>4.1</t>
  </si>
  <si>
    <t>4.2</t>
  </si>
  <si>
    <t>5.1</t>
  </si>
  <si>
    <t>5.2</t>
  </si>
  <si>
    <t>5.3</t>
  </si>
  <si>
    <t>6.1</t>
  </si>
  <si>
    <t>7.1</t>
  </si>
  <si>
    <t>7.2</t>
  </si>
  <si>
    <t>8.1</t>
  </si>
  <si>
    <t>8.2</t>
  </si>
  <si>
    <t>9.1</t>
  </si>
  <si>
    <t>9.2</t>
  </si>
  <si>
    <t>9.3</t>
  </si>
  <si>
    <t>10.1</t>
  </si>
  <si>
    <t>11.1</t>
  </si>
  <si>
    <t>12.1</t>
  </si>
  <si>
    <t>13.1</t>
  </si>
  <si>
    <t>16.1</t>
  </si>
  <si>
    <t>17.1</t>
  </si>
  <si>
    <t>13.2</t>
  </si>
  <si>
    <t>14.1</t>
  </si>
  <si>
    <t>14.2</t>
  </si>
  <si>
    <t>14.3</t>
  </si>
  <si>
    <t>14.4</t>
  </si>
  <si>
    <t>15.1</t>
  </si>
  <si>
    <t>15.2</t>
  </si>
  <si>
    <t>15.3</t>
  </si>
  <si>
    <t>15.4</t>
  </si>
  <si>
    <t>16.2</t>
  </si>
  <si>
    <t>18.1</t>
  </si>
  <si>
    <t>ED-49643</t>
  </si>
  <si>
    <t>FÔRMA E DESFORMA DE TÁBUA E SARRAFO, REAPROVEITAMENTO (3X), EXCLUSIVE ESCORAMENTO</t>
  </si>
  <si>
    <t>ED-19633</t>
  </si>
  <si>
    <t>ESCORAMENTO METÁLICO PARA LAJE E VIGA EM CONCRETO ARMADO, TIPO "A", ALTURA DE (200 ATÉ 310)CM, INCLUSIVE DESCARGA, MONTAGEM, DESMONTAGEM E CARGA</t>
  </si>
  <si>
    <t>LOCAÇÃO DE OBRA COM GABARITO DE TÁBUAS
CORRIDAS PONTALETADAS A CADA 2,00M, REAPROVEITAMENTO (2X)</t>
  </si>
  <si>
    <t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  </t>
  </si>
  <si>
    <t>Rua Francisco Oswaldo Albuquerque, 277 - B. Leozina Albuquerque</t>
  </si>
  <si>
    <t>PRAZO DA OBRA: 04 meses</t>
  </si>
  <si>
    <t>TAPUME</t>
  </si>
  <si>
    <t xml:space="preserve">CONCRETO ESTRUTURAL USINADO FCK &gt;=20,0 MPA, BRITA 1                                                   </t>
  </si>
  <si>
    <t>04 unidades no I.S. masculino e 05 unidades no I.S. feminino (0,55x1,6)x8=</t>
  </si>
  <si>
    <t>Àrea rebocada</t>
  </si>
  <si>
    <t>Área emboçada</t>
  </si>
  <si>
    <t>wc 01</t>
  </si>
  <si>
    <t>ambiente</t>
  </si>
  <si>
    <t>parede 01</t>
  </si>
  <si>
    <t>parede 02</t>
  </si>
  <si>
    <t>pé direito</t>
  </si>
  <si>
    <t>wc2</t>
  </si>
  <si>
    <t>chapisco</t>
  </si>
  <si>
    <t>emboço</t>
  </si>
  <si>
    <t>reboco</t>
  </si>
  <si>
    <t>parede ext</t>
  </si>
  <si>
    <t>perímetro</t>
  </si>
  <si>
    <t>azulejo</t>
  </si>
  <si>
    <t>área de parede</t>
  </si>
  <si>
    <t>laje  = escoramento</t>
  </si>
  <si>
    <t>Da relação de materiais vinda do Eberickdo projeto</t>
  </si>
  <si>
    <t>laje</t>
  </si>
  <si>
    <t>forro</t>
  </si>
  <si>
    <t>laje superior</t>
  </si>
  <si>
    <t>0,15*0,9*4=0,54</t>
  </si>
  <si>
    <t>TAPUME FIXO DE PROTEÇÃO PARA FECHAMENTO
DE OBRA EM CHAPA DE COMPENSADO, ESP. 12MM, COM MÓDULO NA DIMENSÃO DE (110X220)CM, INCLUSIVE PINTURA LÁTEX (PVA) COM DUAS (2) DEMÃOS, EXCLUSIVE ABERTURA PARA PORTÃO</t>
  </si>
  <si>
    <t>ED-50159</t>
  </si>
  <si>
    <t>ED-50162</t>
  </si>
  <si>
    <t>ED-50663</t>
  </si>
  <si>
    <t>CALHA EM CHAPA GALVANIZADA, ESP. 0,5MM ( GSG-26), COM DESENVOLVIMENTO DE 50CM, INCLUSIVE IÇAMENTO MANUAL VERTICAL</t>
  </si>
  <si>
    <t>ED-25171</t>
  </si>
  <si>
    <t>RUFO/CONTRARRUFO E CHAPIM
EM CHAPA GALVANIZADA, ESP. 0,5MM (GSG-26), EXCLUSIVE SERVIÇO DE MONTAGEM/INSTALAÇÃO (FORNECIMENTO/FABRICAÇÃO)</t>
  </si>
  <si>
    <t>((4,00*2*2)+(1,30*4)+(1*2))*0,10*0,15</t>
  </si>
  <si>
    <t>CHAPISCO</t>
  </si>
  <si>
    <t>ÁREA DE PAREDE INTERNA</t>
  </si>
  <si>
    <t>ÁREA DE PAREDE EXTERNA</t>
  </si>
  <si>
    <t>ÁREA DE FORRO</t>
  </si>
  <si>
    <t>área de piso/LAJE</t>
  </si>
  <si>
    <t>REBOCO</t>
  </si>
  <si>
    <t>AZULEJO</t>
  </si>
  <si>
    <t>PISO</t>
  </si>
  <si>
    <t>paredes internas+paredes externas+laje de forro e platibanda</t>
  </si>
  <si>
    <t>paredes externas+1,70m das paredes internas e platibandas</t>
  </si>
  <si>
    <t xml:space="preserve">h=1,80m das paredes internas </t>
  </si>
  <si>
    <t>ALVENARIA</t>
  </si>
  <si>
    <t>90778</t>
  </si>
  <si>
    <t>ENGENHEIRO CIVIL DE OBRA PLENO COM ENCARGOS COMPLEMENTARES</t>
  </si>
  <si>
    <t>h</t>
  </si>
  <si>
    <t>TÉCNICO EM SEGURANÇA DO TRABALHO COM ENCARGOS COMPLEMENTARES</t>
  </si>
  <si>
    <t>100309</t>
  </si>
  <si>
    <t>90776</t>
  </si>
  <si>
    <t>ED-48421</t>
  </si>
  <si>
    <t>ENCARREGADO GERAL COM ENCARGOS COMPLEMENTARES</t>
  </si>
  <si>
    <t>Administração local</t>
  </si>
  <si>
    <t>TOTAL GERAL</t>
  </si>
  <si>
    <t>1.3</t>
  </si>
  <si>
    <t>1.4</t>
  </si>
  <si>
    <t>4.3</t>
  </si>
  <si>
    <t>OBRA: MELHORIAS DAS INSTALAÇÕES DA  E.M. PADRE CLAUDIOMOR TAVARES</t>
  </si>
  <si>
    <t>DATA: 05/06/2025</t>
  </si>
  <si>
    <t>wc3</t>
  </si>
  <si>
    <t>wc4</t>
  </si>
  <si>
    <t>wc6</t>
  </si>
  <si>
    <t>SALA 01</t>
  </si>
  <si>
    <t>SALA 02</t>
  </si>
  <si>
    <t>SALA 03</t>
  </si>
  <si>
    <t>SALA 04</t>
  </si>
  <si>
    <t>ALMOXARIFADO</t>
  </si>
  <si>
    <t>ATENDIMENTO</t>
  </si>
  <si>
    <t>ED-48435</t>
  </si>
  <si>
    <t>DEMOLIÇÃO MANUAL DE ALVENARIA DE TIJOLO
CERÂMICO OU BLOCO DE CONCRETO, INCLUSIVE AFASTAMENTO E EMPILHAMENTO, EXCLUSIVE TRANSPORTE E RETIRADA DO MATERIAL DEMOLIDO</t>
  </si>
  <si>
    <t>RO-00230</t>
  </si>
  <si>
    <t>ED-48497</t>
  </si>
  <si>
    <t>REMOÇÃO MANUAL DE ESQUADRIA METÁLICA, COM REAPROVEITAMENTO, INCLUSIVE MARCO/ALIZAR/GUARNIÇÕES, AFASTAMENTO E EMPILHAMENTO, EXCLUSIVE TRANSPORTE E RETIRADA DO MATERIAL REMOVIDO NÃO REAPROVEITÁVEL</t>
  </si>
  <si>
    <t>COMPACTAÇÃO MANUAL COM SOQUETE VIBRATÓRIO</t>
  </si>
  <si>
    <t>Muro de arrimo - substituindo portão existe na rampa de acesso</t>
  </si>
  <si>
    <t>4.4</t>
  </si>
  <si>
    <t>4.5</t>
  </si>
  <si>
    <t>4.6</t>
  </si>
  <si>
    <t>4.7</t>
  </si>
  <si>
    <t>4.8</t>
  </si>
  <si>
    <t>4.9</t>
  </si>
  <si>
    <t>6+6+6+6+6+2,82+28,88+28,88+26,66+26,66+6+14,97</t>
  </si>
  <si>
    <t>130,3+59,6</t>
  </si>
  <si>
    <t>0,9+5,2+11,7+9,25+7,75+4,2+2,1+2,1+12,7+4,85</t>
  </si>
  <si>
    <t>2,75+2,75+2,45+2,45+7,65+7,65+0,75+0,75</t>
  </si>
  <si>
    <t>9 x 3,50m</t>
  </si>
  <si>
    <t>26,66+6+6+6+26,66+2,8</t>
  </si>
  <si>
    <t>26,66+6+6+6+26,66+2,8+6+6+28,88+28,88</t>
  </si>
  <si>
    <t xml:space="preserve">SOLEIRA DE granito, E = 2 CM                                           </t>
  </si>
  <si>
    <t>PAREDES INTERNAS + PAREDES EXTERNAS + PLATIBANDA E OITÃO</t>
  </si>
  <si>
    <t>SINAPI - 100351</t>
  </si>
  <si>
    <t>MURO DE ARRIMO COM BLOCOS DE CONCRETO ESTRUTURAL E PILARES INTERMEDIÁRIOS, COM ALTURA MAIOR QUE 1,6 M E MENOR OU IGUAL A 2,8 M (EXCETO FUNDAÇÃO). AF_11/2024</t>
  </si>
  <si>
    <t>ED-50454</t>
  </si>
  <si>
    <t>PINTURA ACRÍLICA EM TETO, TRÊS (3) DEMÃOS, COM APLICAÇÃO MANUAL, EXCLUSIVE SELADOR ACRÍLICO E MASSA ACRÍLICA/CORRIDA (PVA)</t>
  </si>
  <si>
    <t>ED-48407</t>
  </si>
  <si>
    <t>ENGRADAMENTO EM MADEIRA PARAJU OU EQUIVALENTE, PARA TELHAS CERÂMICAS OU DE CONCRETO, EXCLUSIVE TELHAS</t>
  </si>
  <si>
    <t>COBERTURA EM TELHA CERÂMICA, TIPO COLONIAL, INCLUSIVE FIXAÇÃO, EXCLUSIVE ENGRADAMENTO E MANTA ISOLANTE/TÉRMICA</t>
  </si>
  <si>
    <t>CONFORME QUADRA DE ESQUADRIAS NO PROJETO ARQUITETÔNICO</t>
  </si>
  <si>
    <t>Áreas de janelas</t>
  </si>
  <si>
    <t>área das portas de madeira</t>
  </si>
  <si>
    <t>05 lavatórios, e 5 ralos</t>
  </si>
  <si>
    <t xml:space="preserve"> 09 vasos sanitários</t>
  </si>
  <si>
    <t>05 lavatórios, 09 vasos, 04 chuveiros</t>
  </si>
  <si>
    <t>05 lavatórios</t>
  </si>
  <si>
    <t>04 chuveiros</t>
  </si>
  <si>
    <t>9 vasos</t>
  </si>
  <si>
    <t>05 sanitários</t>
  </si>
  <si>
    <t>5 lavatórios e 4 chuveiros</t>
  </si>
  <si>
    <t>Sanitários</t>
  </si>
  <si>
    <t>àrea de janelas</t>
  </si>
  <si>
    <t>(1 x 5) sanitários + (2 x 4) salas de aula + 1 almoxarifado + 1 atendimento</t>
  </si>
  <si>
    <t>(1 x 5) sanitários + (4 x 4) salas de aula + 2 almoxarifado + 2 atendimento</t>
  </si>
  <si>
    <t>1 por ponto de luz</t>
  </si>
  <si>
    <t>1 por obra</t>
  </si>
  <si>
    <t>Área interna ao tapume</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</si>
  <si>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</si>
  <si>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</si>
  <si>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1.5</t>
  </si>
  <si>
    <t>1.6</t>
  </si>
  <si>
    <t>6.2</t>
  </si>
  <si>
    <t>6.3</t>
  </si>
  <si>
    <t>10.2</t>
  </si>
  <si>
    <t>10.3</t>
  </si>
  <si>
    <t>10.4</t>
  </si>
  <si>
    <t>19.1</t>
  </si>
  <si>
    <t>19.2</t>
  </si>
  <si>
    <t>19.3</t>
  </si>
  <si>
    <t>Valas do baldrame, sapatas e enchimento</t>
  </si>
  <si>
    <t xml:space="preserve">Valas do baldrame, sapatas e enchimento da rampa de acesso </t>
  </si>
  <si>
    <t>fechamento da obra</t>
  </si>
  <si>
    <t>PORTÃO PARA TAPUME FIXO DE PROTEÇÃO COM FECHAMENTO DE OBRA EM CHAPA DE COMPENSADO, ESP. 12MM, COM MÓDULO NA DIMENSÃO DE (110X220)CM, INCLUSIVE FERRAGENS E PINTURA LÁTEX (PVA) COM DUAS (2) DEMÃOS</t>
  </si>
  <si>
    <t xml:space="preserve">OBRA: CONSTRUÇÃO DE </t>
  </si>
  <si>
    <t>ED-22902</t>
  </si>
  <si>
    <t>TORNEIRA METÁLICA PARA TANQUE, ACABAMENTO CROMADO, COM AREJADOR</t>
  </si>
  <si>
    <t>ED-50287</t>
  </si>
  <si>
    <t>CUBA EM AÇO INOXIDÁVEL DE EMBUTIR, AISI 304, APLICAÇÃO PARA TANQUE (600X600X400)MM, ASSENTAMENTO EM BANCADA, INCLUSIVE VÁLVULA DE ESCOAMENTO DE METAL COMACABAMENTO CROMADO, SIFÃO DE METAL TIPO COPO COM ACABAMENTO CROMADO</t>
  </si>
  <si>
    <t>BANCADA EM GRANITO, COR CINZA ANDORINHA, ESP. 3CM, ACABAMENTO POLIDO, APOIADA EM CONSOLE DE METALON (50X30)MM, EXCLUSIVE RODABANCA/FRONTÃO, TESTEIRA/ FAIXA, FURO EM BANCADA, CUBA METÁLICA, SIFÃO, TORNEIRA E ENGATE FLEXÍVEL</t>
  </si>
  <si>
    <t xml:space="preserve">ED-21095 </t>
  </si>
  <si>
    <t>ED-50007 -</t>
  </si>
  <si>
    <t>CAIXA SIFONADA EM PVC COM GRELHA QUADRADA150 X 150 X 50 MM</t>
  </si>
  <si>
    <t>16.3</t>
  </si>
  <si>
    <t>16.4</t>
  </si>
  <si>
    <t>16.5</t>
  </si>
  <si>
    <t>16.6</t>
  </si>
  <si>
    <t>16.7</t>
  </si>
  <si>
    <t>16.8</t>
  </si>
  <si>
    <t>16.9</t>
  </si>
  <si>
    <t>16.10</t>
  </si>
  <si>
    <t>16.11</t>
  </si>
  <si>
    <t>16.12</t>
  </si>
  <si>
    <t>16.13</t>
  </si>
  <si>
    <t>16.14</t>
  </si>
  <si>
    <t>17.2</t>
  </si>
  <si>
    <t>19.4</t>
  </si>
  <si>
    <t>20.1</t>
  </si>
  <si>
    <t>20.2</t>
  </si>
  <si>
    <t>20.3</t>
  </si>
  <si>
    <t>21.1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</si>
</sst>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1" formatCode="_(* #,##0.00_);_(* \(#,##0.00\);_(* &quot;-&quot;??_);_(@_)"/>
    <numFmt numFmtId="176" formatCode="&quot;R$&quot;\ #,##0.00"/>
    <numFmt numFmtId="177" formatCode="&quot;R$ &quot;#,##0.00"/>
  </numFmts>
  <fonts count="22" x14ac:knownFonts="1">
    <font>
      <sz val="10"/>
      <name val="Arial"/>
    </font>
    <font>
      <sz val="10"/>
      <name val="Arial"/>
    </font>
    <font>
      <sz val="8"/>
      <name val="Arial"/>
      <family val="2"/>
    </font>
    <font>
      <b/>
      <sz val="10"/>
      <name val="Arial"/>
      <family val="2"/>
    </font>
    <font>
      <b/>
      <sz val="12"/>
      <name val="Arial"/>
      <family val="2"/>
    </font>
    <font>
      <b/>
      <sz val="9"/>
      <name val="Arial"/>
      <family val="2"/>
    </font>
    <font>
      <sz val="9"/>
      <name val="Arial"/>
      <family val="2"/>
    </font>
    <font>
      <b/>
      <sz val="11"/>
      <name val="Arial"/>
      <family val="2"/>
    </font>
    <font>
      <sz val="12"/>
      <name val="Arial"/>
      <family val="2"/>
    </font>
    <font>
      <sz val="10"/>
      <name val="Arial"/>
      <family val="2"/>
    </font>
    <font>
      <sz val="9"/>
      <color indexed="8"/>
      <name val="Arial"/>
      <family val="2"/>
    </font>
    <font>
      <b/>
      <sz val="9"/>
      <color indexed="8"/>
      <name val="Arial"/>
      <family val="2"/>
    </font>
    <font>
      <b/>
      <sz val="10"/>
      <color indexed="8"/>
      <name val="Arial"/>
      <family val="2"/>
    </font>
    <font>
      <b/>
      <sz val="14"/>
      <name val="Arial"/>
      <family val="2"/>
    </font>
    <font>
      <sz val="8"/>
      <name val="Arial"/>
      <family val="2"/>
    </font>
    <font>
      <b/>
      <u/>
      <sz val="9"/>
      <name val="Arial"/>
      <family val="2"/>
    </font>
    <font>
      <sz val="9"/>
      <color rgb="FFFF0000"/>
      <name val="Arial"/>
      <family val="2"/>
    </font>
    <font>
      <sz val="10"/>
      <color theme="5"/>
      <name val="Arial"/>
      <family val="2"/>
    </font>
    <font>
      <sz val="10"/>
      <color rgb="FFFF0000"/>
      <name val="Arial"/>
      <family val="2"/>
    </font>
    <font>
      <b/>
      <sz val="10"/>
      <color rgb="FFFF0000"/>
      <name val="Arial"/>
      <family val="2"/>
    </font>
    <font>
      <b/>
      <sz val="9"/>
      <color rgb="FFFF0000"/>
      <name val="Arial"/>
      <family val="2"/>
    </font>
    <font>
      <b/>
      <sz val="9"/>
      <color rgb="FFED0000"/>
      <name val="Arial"/>
      <family val="2"/>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6" tint="0.59996337778862885"/>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171" fontId="1" fillId="0" borderId="0" applyFont="0" applyFill="0" applyBorder="0" applyAlignment="0" applyProtection="0"/>
  </cellStyleXfs>
  <cellXfs count="243">
    <xf numFmtId="0" fontId="0" fillId="0" borderId="0" xfId="0"/>
    <xf numFmtId="0" fontId="3" fillId="0" borderId="1" xfId="0" applyFont="1" applyBorder="1" applyAlignment="1">
      <alignment horizontal="center" vertical="center"/>
    </xf>
    <xf numFmtId="0" fontId="0" fillId="0" borderId="1" xfId="0" applyBorder="1" applyAlignment="1">
      <alignment horizontal="center"/>
    </xf>
    <xf numFmtId="0" fontId="0" fillId="0" borderId="1" xfId="0" applyFill="1" applyBorder="1" applyAlignment="1">
      <alignment horizontal="center"/>
    </xf>
    <xf numFmtId="0" fontId="7" fillId="4" borderId="1" xfId="0" applyFont="1" applyFill="1" applyBorder="1" applyAlignment="1">
      <alignment wrapText="1"/>
    </xf>
    <xf numFmtId="0" fontId="8" fillId="4" borderId="1" xfId="0" applyFont="1" applyFill="1" applyBorder="1"/>
    <xf numFmtId="0" fontId="0" fillId="4" borderId="1" xfId="0" applyFill="1" applyBorder="1" applyAlignment="1">
      <alignment horizontal="center"/>
    </xf>
    <xf numFmtId="0" fontId="0" fillId="4" borderId="1" xfId="0" applyFill="1" applyBorder="1" applyAlignment="1">
      <alignment vertical="center"/>
    </xf>
    <xf numFmtId="0" fontId="0" fillId="4" borderId="1" xfId="0" applyFill="1" applyBorder="1"/>
    <xf numFmtId="0" fontId="0" fillId="0" borderId="0" xfId="0" applyBorder="1" applyAlignment="1">
      <alignment vertical="center"/>
    </xf>
    <xf numFmtId="49" fontId="10" fillId="0" borderId="1" xfId="0" applyNumberFormat="1" applyFont="1" applyBorder="1" applyAlignment="1">
      <alignment horizontal="center" vertical="center" wrapText="1"/>
    </xf>
    <xf numFmtId="0" fontId="10" fillId="0" borderId="2" xfId="0" applyFont="1" applyBorder="1" applyAlignment="1">
      <alignment vertical="center" wrapText="1"/>
    </xf>
    <xf numFmtId="49" fontId="10" fillId="0" borderId="3" xfId="0" applyNumberFormat="1" applyFont="1" applyBorder="1" applyAlignment="1">
      <alignment horizontal="center" vertical="center" wrapText="1"/>
    </xf>
    <xf numFmtId="0" fontId="10" fillId="0" borderId="1" xfId="0" applyFont="1" applyBorder="1" applyAlignment="1">
      <alignment vertical="center" wrapText="1"/>
    </xf>
    <xf numFmtId="0" fontId="9" fillId="0" borderId="0" xfId="0" applyFont="1"/>
    <xf numFmtId="2" fontId="9" fillId="0" borderId="1" xfId="1" applyNumberFormat="1" applyFont="1" applyFill="1" applyBorder="1"/>
    <xf numFmtId="0" fontId="9" fillId="0" borderId="1" xfId="0" applyFont="1" applyFill="1" applyBorder="1" applyAlignment="1">
      <alignment horizontal="center"/>
    </xf>
    <xf numFmtId="0" fontId="10" fillId="3" borderId="1" xfId="0" applyNumberFormat="1" applyFont="1" applyFill="1" applyBorder="1" applyAlignment="1">
      <alignment horizontal="center" vertical="center" wrapText="1"/>
    </xf>
    <xf numFmtId="2" fontId="0" fillId="0" borderId="0" xfId="0" applyNumberFormat="1"/>
    <xf numFmtId="0" fontId="3" fillId="0" borderId="0" xfId="0" applyFont="1"/>
    <xf numFmtId="0" fontId="3" fillId="0" borderId="0" xfId="0" applyFont="1" applyAlignment="1">
      <alignment wrapText="1"/>
    </xf>
    <xf numFmtId="0" fontId="3" fillId="0" borderId="0" xfId="0" applyFont="1" applyAlignment="1">
      <alignment horizontal="right" vertical="center"/>
    </xf>
    <xf numFmtId="0" fontId="3" fillId="0" borderId="1" xfId="0" applyFont="1" applyBorder="1" applyAlignment="1">
      <alignment horizontal="center" vertical="center" wrapText="1"/>
    </xf>
    <xf numFmtId="0" fontId="0" fillId="4" borderId="4" xfId="0" applyFill="1" applyBorder="1" applyAlignment="1">
      <alignment horizontal="right" vertical="center"/>
    </xf>
    <xf numFmtId="0" fontId="0" fillId="4" borderId="5" xfId="0" applyFill="1" applyBorder="1"/>
    <xf numFmtId="0" fontId="6" fillId="0" borderId="1" xfId="0" applyFont="1" applyBorder="1" applyAlignment="1">
      <alignment horizontal="center"/>
    </xf>
    <xf numFmtId="2" fontId="5" fillId="0" borderId="4" xfId="0" applyNumberFormat="1" applyFont="1" applyBorder="1" applyAlignment="1">
      <alignment horizontal="right" vertical="center"/>
    </xf>
    <xf numFmtId="0" fontId="5" fillId="0" borderId="5" xfId="0" applyFont="1" applyBorder="1"/>
    <xf numFmtId="0" fontId="6" fillId="4" borderId="1" xfId="0" applyFont="1" applyFill="1" applyBorder="1" applyAlignment="1">
      <alignment horizontal="center"/>
    </xf>
    <xf numFmtId="2" fontId="5" fillId="4" borderId="4" xfId="0" applyNumberFormat="1" applyFont="1" applyFill="1" applyBorder="1" applyAlignment="1">
      <alignment horizontal="right" vertical="center"/>
    </xf>
    <xf numFmtId="0" fontId="5" fillId="4" borderId="5" xfId="0" applyFont="1" applyFill="1" applyBorder="1"/>
    <xf numFmtId="2" fontId="5" fillId="0" borderId="6" xfId="0" applyNumberFormat="1" applyFont="1" applyBorder="1" applyAlignment="1">
      <alignment horizontal="right" vertical="center"/>
    </xf>
    <xf numFmtId="0" fontId="5" fillId="0" borderId="7" xfId="0" applyFont="1" applyBorder="1"/>
    <xf numFmtId="0" fontId="5" fillId="0" borderId="8" xfId="0" applyFont="1" applyBorder="1" applyAlignment="1">
      <alignment vertical="center"/>
    </xf>
    <xf numFmtId="0" fontId="6" fillId="0" borderId="1" xfId="0" applyFont="1" applyBorder="1" applyAlignment="1">
      <alignment horizontal="center" vertical="center"/>
    </xf>
    <xf numFmtId="0" fontId="5" fillId="0" borderId="5" xfId="0" applyFont="1" applyBorder="1" applyAlignment="1">
      <alignment vertical="center"/>
    </xf>
    <xf numFmtId="0" fontId="5" fillId="0" borderId="5" xfId="0" applyFont="1" applyBorder="1" applyAlignment="1">
      <alignment horizontal="right" vertical="center"/>
    </xf>
    <xf numFmtId="0" fontId="6" fillId="4" borderId="1" xfId="0" applyFont="1" applyFill="1" applyBorder="1" applyAlignment="1">
      <alignment horizontal="center" vertical="center"/>
    </xf>
    <xf numFmtId="0" fontId="5" fillId="4" borderId="5" xfId="0" applyFont="1" applyFill="1" applyBorder="1" applyAlignment="1">
      <alignment vertical="center"/>
    </xf>
    <xf numFmtId="0" fontId="5" fillId="0" borderId="9" xfId="0" applyFont="1" applyBorder="1" applyAlignment="1">
      <alignment vertical="center"/>
    </xf>
    <xf numFmtId="0" fontId="5" fillId="0" borderId="7" xfId="0" applyFont="1" applyBorder="1" applyAlignment="1">
      <alignment vertical="center"/>
    </xf>
    <xf numFmtId="0" fontId="6" fillId="0" borderId="1" xfId="0" applyFont="1" applyBorder="1" applyAlignment="1">
      <alignment horizontal="center" vertical="center" wrapText="1"/>
    </xf>
    <xf numFmtId="0" fontId="10" fillId="0" borderId="10" xfId="0" applyFont="1" applyBorder="1" applyAlignment="1">
      <alignment vertical="center" wrapText="1"/>
    </xf>
    <xf numFmtId="0" fontId="16" fillId="4" borderId="1" xfId="0" applyFont="1" applyFill="1" applyBorder="1" applyAlignment="1">
      <alignment horizontal="center" vertical="center"/>
    </xf>
    <xf numFmtId="0" fontId="0" fillId="0" borderId="1" xfId="0" applyFont="1" applyBorder="1" applyAlignment="1">
      <alignment vertical="center" wrapText="1"/>
    </xf>
    <xf numFmtId="176" fontId="0" fillId="0" borderId="1" xfId="0" applyNumberFormat="1" applyBorder="1" applyAlignment="1">
      <alignment vertical="center"/>
    </xf>
    <xf numFmtId="176" fontId="0" fillId="0" borderId="0" xfId="0" applyNumberFormat="1" applyBorder="1" applyAlignment="1">
      <alignment vertical="center"/>
    </xf>
    <xf numFmtId="0" fontId="0" fillId="0" borderId="1" xfId="0" applyFill="1" applyBorder="1" applyAlignment="1">
      <alignment horizontal="center" vertical="center"/>
    </xf>
    <xf numFmtId="0" fontId="0" fillId="0" borderId="1" xfId="0" applyBorder="1" applyAlignment="1">
      <alignment horizontal="center" vertical="center"/>
    </xf>
    <xf numFmtId="2" fontId="1" fillId="0" borderId="1" xfId="1" applyNumberFormat="1" applyFont="1" applyFill="1" applyBorder="1" applyAlignment="1">
      <alignment vertical="center"/>
    </xf>
    <xf numFmtId="0" fontId="9" fillId="0" borderId="1" xfId="0" applyFont="1" applyFill="1" applyBorder="1" applyAlignment="1">
      <alignment horizontal="center" vertical="center"/>
    </xf>
    <xf numFmtId="0" fontId="9" fillId="0" borderId="1" xfId="0" applyFont="1" applyBorder="1" applyAlignment="1">
      <alignment horizontal="center" vertical="center"/>
    </xf>
    <xf numFmtId="2" fontId="9" fillId="0" borderId="1" xfId="1" applyNumberFormat="1" applyFont="1" applyFill="1" applyBorder="1" applyAlignment="1">
      <alignment horizontal="right" vertical="center"/>
    </xf>
    <xf numFmtId="2" fontId="9" fillId="0" borderId="4" xfId="0" applyNumberFormat="1" applyFont="1" applyBorder="1" applyAlignment="1">
      <alignment horizontal="right" vertical="center"/>
    </xf>
    <xf numFmtId="0" fontId="8" fillId="4" borderId="1" xfId="0" applyFont="1" applyFill="1" applyBorder="1" applyAlignment="1">
      <alignment vertical="center"/>
    </xf>
    <xf numFmtId="0" fontId="0" fillId="4" borderId="1" xfId="0" applyFill="1" applyBorder="1" applyAlignment="1">
      <alignment horizontal="center" vertical="center"/>
    </xf>
    <xf numFmtId="2" fontId="9" fillId="0" borderId="1" xfId="1" applyNumberFormat="1" applyFont="1" applyFill="1" applyBorder="1" applyAlignment="1">
      <alignment vertical="center"/>
    </xf>
    <xf numFmtId="0" fontId="0" fillId="3" borderId="0" xfId="0" applyFill="1"/>
    <xf numFmtId="0" fontId="0" fillId="3" borderId="0" xfId="0" applyFill="1" applyAlignment="1">
      <alignment wrapText="1"/>
    </xf>
    <xf numFmtId="0" fontId="3" fillId="3" borderId="11" xfId="0" applyFont="1" applyFill="1" applyBorder="1" applyAlignment="1">
      <alignment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3" xfId="0" applyFont="1" applyFill="1" applyBorder="1" applyAlignment="1">
      <alignment horizontal="center" vertical="center" wrapText="1"/>
    </xf>
    <xf numFmtId="0" fontId="3" fillId="3" borderId="15" xfId="0" applyFont="1" applyFill="1" applyBorder="1" applyAlignment="1">
      <alignment horizontal="center" vertical="center"/>
    </xf>
    <xf numFmtId="49" fontId="10" fillId="3" borderId="16" xfId="0" applyNumberFormat="1" applyFont="1" applyFill="1" applyBorder="1" applyAlignment="1">
      <alignment horizontal="center" vertical="top" wrapText="1"/>
    </xf>
    <xf numFmtId="49" fontId="10" fillId="3" borderId="2" xfId="0" applyNumberFormat="1" applyFont="1" applyFill="1" applyBorder="1" applyAlignment="1">
      <alignment horizontal="center" vertical="top" wrapText="1"/>
    </xf>
    <xf numFmtId="10" fontId="6" fillId="3" borderId="16" xfId="0" applyNumberFormat="1" applyFont="1" applyFill="1" applyBorder="1" applyAlignment="1">
      <alignment vertical="top" wrapText="1"/>
    </xf>
    <xf numFmtId="10" fontId="6" fillId="3" borderId="17" xfId="0" applyNumberFormat="1" applyFont="1" applyFill="1" applyBorder="1" applyAlignment="1">
      <alignment vertical="top" wrapText="1"/>
    </xf>
    <xf numFmtId="177" fontId="10" fillId="3" borderId="2" xfId="0" applyNumberFormat="1" applyFont="1" applyFill="1" applyBorder="1" applyAlignment="1">
      <alignment vertical="top" wrapText="1"/>
    </xf>
    <xf numFmtId="177" fontId="10" fillId="3" borderId="18" xfId="0" applyNumberFormat="1" applyFont="1" applyFill="1" applyBorder="1" applyAlignment="1">
      <alignment vertical="top" wrapText="1"/>
    </xf>
    <xf numFmtId="10" fontId="0" fillId="3" borderId="0" xfId="0" applyNumberFormat="1" applyFill="1"/>
    <xf numFmtId="49" fontId="10" fillId="3" borderId="19" xfId="0" applyNumberFormat="1" applyFont="1" applyFill="1" applyBorder="1" applyAlignment="1">
      <alignment horizontal="center" vertical="top" wrapText="1"/>
    </xf>
    <xf numFmtId="49" fontId="11" fillId="3" borderId="20" xfId="0" applyNumberFormat="1" applyFont="1" applyFill="1" applyBorder="1" applyAlignment="1">
      <alignment horizontal="center" vertical="top" wrapText="1"/>
    </xf>
    <xf numFmtId="49" fontId="11" fillId="3" borderId="21" xfId="0" applyNumberFormat="1" applyFont="1" applyFill="1" applyBorder="1" applyAlignment="1">
      <alignment horizontal="center" vertical="top" wrapText="1"/>
    </xf>
    <xf numFmtId="4" fontId="0" fillId="3" borderId="0" xfId="0" applyNumberFormat="1" applyFill="1"/>
    <xf numFmtId="0" fontId="0" fillId="3" borderId="0" xfId="0" applyFill="1" applyAlignment="1">
      <alignment vertical="center"/>
    </xf>
    <xf numFmtId="0" fontId="0" fillId="3" borderId="0" xfId="0" applyFill="1" applyAlignment="1">
      <alignment vertical="center" wrapText="1"/>
    </xf>
    <xf numFmtId="0" fontId="3" fillId="3" borderId="22" xfId="0" applyFont="1" applyFill="1" applyBorder="1" applyAlignment="1">
      <alignment wrapText="1"/>
    </xf>
    <xf numFmtId="0" fontId="3" fillId="3" borderId="23" xfId="0" applyFont="1" applyFill="1" applyBorder="1" applyAlignment="1">
      <alignment wrapText="1"/>
    </xf>
    <xf numFmtId="0" fontId="3" fillId="3" borderId="24" xfId="0" applyFont="1" applyFill="1" applyBorder="1" applyAlignment="1">
      <alignment wrapText="1"/>
    </xf>
    <xf numFmtId="0" fontId="0" fillId="3" borderId="25" xfId="0" applyFill="1" applyBorder="1"/>
    <xf numFmtId="0" fontId="0" fillId="3" borderId="23" xfId="0" applyFill="1" applyBorder="1"/>
    <xf numFmtId="0" fontId="0" fillId="3" borderId="26" xfId="0" applyFill="1" applyBorder="1"/>
    <xf numFmtId="0" fontId="9" fillId="3" borderId="0" xfId="0" applyFont="1" applyFill="1"/>
    <xf numFmtId="0" fontId="3" fillId="3" borderId="27" xfId="0" applyFont="1" applyFill="1" applyBorder="1" applyAlignment="1">
      <alignment wrapText="1"/>
    </xf>
    <xf numFmtId="0" fontId="0" fillId="0" borderId="28" xfId="0" applyBorder="1" applyAlignment="1">
      <alignment vertical="center"/>
    </xf>
    <xf numFmtId="0" fontId="3" fillId="3" borderId="0" xfId="0" applyFont="1" applyFill="1" applyAlignment="1">
      <alignment wrapText="1"/>
    </xf>
    <xf numFmtId="0" fontId="3" fillId="3" borderId="28" xfId="0" applyFont="1" applyFill="1" applyBorder="1" applyAlignment="1">
      <alignment wrapText="1"/>
    </xf>
    <xf numFmtId="0" fontId="0" fillId="0" borderId="7" xfId="0" applyBorder="1" applyAlignment="1">
      <alignment vertical="center"/>
    </xf>
    <xf numFmtId="0" fontId="3" fillId="3" borderId="6" xfId="0" applyFont="1" applyFill="1" applyBorder="1"/>
    <xf numFmtId="0" fontId="6" fillId="3" borderId="29" xfId="0" applyFont="1" applyFill="1" applyBorder="1"/>
    <xf numFmtId="0" fontId="3" fillId="3" borderId="27" xfId="0" applyFont="1" applyFill="1" applyBorder="1"/>
    <xf numFmtId="0" fontId="2" fillId="0" borderId="7" xfId="0" applyFont="1" applyBorder="1" applyAlignment="1">
      <alignment vertical="center"/>
    </xf>
    <xf numFmtId="0" fontId="0" fillId="3" borderId="6" xfId="0" applyFill="1" applyBorder="1"/>
    <xf numFmtId="0" fontId="0" fillId="3" borderId="29" xfId="0" applyFill="1" applyBorder="1"/>
    <xf numFmtId="0" fontId="9" fillId="3" borderId="27" xfId="0" applyFont="1" applyFill="1" applyBorder="1"/>
    <xf numFmtId="0" fontId="0" fillId="3" borderId="7" xfId="0" applyFill="1" applyBorder="1"/>
    <xf numFmtId="0" fontId="5" fillId="3" borderId="27" xfId="0" applyFont="1" applyFill="1" applyBorder="1"/>
    <xf numFmtId="0" fontId="5" fillId="3" borderId="0" xfId="0" applyFont="1" applyFill="1" applyAlignment="1">
      <alignment wrapText="1"/>
    </xf>
    <xf numFmtId="0" fontId="3" fillId="3" borderId="0" xfId="0" applyFont="1" applyFill="1" applyAlignment="1">
      <alignment horizontal="right"/>
    </xf>
    <xf numFmtId="0" fontId="6" fillId="3" borderId="30" xfId="0" applyFont="1" applyFill="1" applyBorder="1"/>
    <xf numFmtId="0" fontId="6" fillId="3" borderId="31" xfId="0" applyFont="1" applyFill="1" applyBorder="1" applyAlignment="1">
      <alignment wrapText="1"/>
    </xf>
    <xf numFmtId="0" fontId="0" fillId="3" borderId="31" xfId="0" applyFill="1" applyBorder="1"/>
    <xf numFmtId="0" fontId="0" fillId="3" borderId="32" xfId="0" applyFill="1" applyBorder="1"/>
    <xf numFmtId="0" fontId="0" fillId="3" borderId="33" xfId="0" applyFill="1" applyBorder="1"/>
    <xf numFmtId="0" fontId="0" fillId="3" borderId="34" xfId="0" applyFill="1" applyBorder="1"/>
    <xf numFmtId="176" fontId="0" fillId="4" borderId="1" xfId="0" applyNumberFormat="1" applyFill="1" applyBorder="1" applyAlignment="1">
      <alignment vertical="center"/>
    </xf>
    <xf numFmtId="10" fontId="5" fillId="3" borderId="16" xfId="0" applyNumberFormat="1" applyFont="1" applyFill="1" applyBorder="1" applyAlignment="1">
      <alignment vertical="top" wrapText="1"/>
    </xf>
    <xf numFmtId="10" fontId="5" fillId="3" borderId="16" xfId="1" applyNumberFormat="1" applyFont="1" applyFill="1" applyBorder="1" applyAlignment="1">
      <alignment vertical="top" wrapText="1"/>
    </xf>
    <xf numFmtId="10" fontId="5" fillId="3" borderId="17" xfId="0" applyNumberFormat="1" applyFont="1" applyFill="1" applyBorder="1" applyAlignment="1">
      <alignment vertical="top" wrapText="1"/>
    </xf>
    <xf numFmtId="177" fontId="6" fillId="3" borderId="18" xfId="0" applyNumberFormat="1" applyFont="1" applyFill="1" applyBorder="1" applyAlignment="1">
      <alignment vertical="top" wrapText="1"/>
    </xf>
    <xf numFmtId="176" fontId="0" fillId="4" borderId="1" xfId="0" applyNumberFormat="1" applyFill="1" applyBorder="1" applyAlignment="1">
      <alignment horizontal="center"/>
    </xf>
    <xf numFmtId="10" fontId="5" fillId="3" borderId="20" xfId="0" applyNumberFormat="1" applyFont="1" applyFill="1" applyBorder="1" applyAlignment="1">
      <alignment vertical="top" wrapText="1"/>
    </xf>
    <xf numFmtId="177" fontId="5" fillId="3" borderId="21" xfId="0" applyNumberFormat="1" applyFont="1" applyFill="1" applyBorder="1" applyAlignment="1">
      <alignment vertical="top" wrapText="1"/>
    </xf>
    <xf numFmtId="177" fontId="5" fillId="3" borderId="35" xfId="0" applyNumberFormat="1" applyFont="1" applyFill="1" applyBorder="1" applyAlignment="1">
      <alignment vertical="top" wrapText="1"/>
    </xf>
    <xf numFmtId="10" fontId="11" fillId="3" borderId="16" xfId="0" applyNumberFormat="1" applyFont="1" applyFill="1" applyBorder="1" applyAlignment="1">
      <alignment vertical="top" wrapText="1"/>
    </xf>
    <xf numFmtId="177" fontId="5" fillId="3" borderId="2" xfId="0" applyNumberFormat="1" applyFont="1" applyFill="1" applyBorder="1" applyAlignment="1">
      <alignment vertical="top" wrapText="1"/>
    </xf>
    <xf numFmtId="177" fontId="11" fillId="3" borderId="2" xfId="0" applyNumberFormat="1" applyFont="1" applyFill="1" applyBorder="1" applyAlignment="1">
      <alignment vertical="top" wrapText="1"/>
    </xf>
    <xf numFmtId="10" fontId="3" fillId="3" borderId="16" xfId="0" applyNumberFormat="1" applyFont="1" applyFill="1" applyBorder="1" applyAlignment="1">
      <alignment vertical="top" wrapText="1"/>
    </xf>
    <xf numFmtId="176" fontId="3" fillId="3" borderId="16" xfId="0" applyNumberFormat="1" applyFont="1" applyFill="1" applyBorder="1" applyAlignment="1">
      <alignment vertical="top" wrapText="1"/>
    </xf>
    <xf numFmtId="177" fontId="12" fillId="3" borderId="2" xfId="0" applyNumberFormat="1" applyFont="1" applyFill="1" applyBorder="1" applyAlignment="1">
      <alignment vertical="top" wrapText="1"/>
    </xf>
    <xf numFmtId="10" fontId="3" fillId="0" borderId="1" xfId="0" applyNumberFormat="1" applyFont="1" applyBorder="1" applyAlignment="1">
      <alignment vertical="center" wrapText="1"/>
    </xf>
    <xf numFmtId="176" fontId="5" fillId="3" borderId="16" xfId="0" applyNumberFormat="1" applyFont="1" applyFill="1" applyBorder="1" applyAlignment="1">
      <alignment vertical="top" wrapText="1"/>
    </xf>
    <xf numFmtId="0" fontId="6" fillId="0" borderId="3" xfId="0" applyFont="1" applyBorder="1" applyAlignment="1">
      <alignment horizontal="center"/>
    </xf>
    <xf numFmtId="0" fontId="6" fillId="0" borderId="10" xfId="0" applyFont="1" applyBorder="1" applyAlignment="1">
      <alignment horizontal="center" vertical="center"/>
    </xf>
    <xf numFmtId="0" fontId="6" fillId="0" borderId="3" xfId="0" applyFont="1" applyBorder="1" applyAlignment="1">
      <alignment horizontal="center" vertical="center" wrapText="1"/>
    </xf>
    <xf numFmtId="0" fontId="17" fillId="0" borderId="0" xfId="0" applyFont="1"/>
    <xf numFmtId="0" fontId="6" fillId="0" borderId="1" xfId="0" applyFont="1" applyBorder="1" applyAlignment="1">
      <alignment vertical="center" wrapText="1"/>
    </xf>
    <xf numFmtId="2"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0" fontId="9" fillId="0" borderId="10" xfId="0" applyFont="1" applyBorder="1" applyAlignment="1">
      <alignment horizontal="center" vertical="center"/>
    </xf>
    <xf numFmtId="0" fontId="0" fillId="0" borderId="22" xfId="0" applyBorder="1" applyAlignment="1"/>
    <xf numFmtId="0" fontId="0" fillId="0" borderId="23" xfId="0" applyBorder="1" applyAlignment="1"/>
    <xf numFmtId="0" fontId="0" fillId="0" borderId="23" xfId="0" applyBorder="1" applyAlignment="1">
      <alignment wrapText="1"/>
    </xf>
    <xf numFmtId="0" fontId="0" fillId="0" borderId="26" xfId="0" applyBorder="1" applyAlignment="1"/>
    <xf numFmtId="0" fontId="0" fillId="0" borderId="27" xfId="0" applyBorder="1"/>
    <xf numFmtId="0" fontId="0" fillId="0" borderId="0" xfId="0" applyBorder="1"/>
    <xf numFmtId="0" fontId="0" fillId="0" borderId="29" xfId="0" applyBorder="1"/>
    <xf numFmtId="0" fontId="3" fillId="0" borderId="36" xfId="0" applyFont="1" applyBorder="1" applyAlignment="1">
      <alignment horizontal="center" vertical="center"/>
    </xf>
    <xf numFmtId="0" fontId="3" fillId="0" borderId="37" xfId="0" applyFont="1" applyBorder="1" applyAlignment="1">
      <alignment vertical="center"/>
    </xf>
    <xf numFmtId="0" fontId="3" fillId="0" borderId="37" xfId="0" applyFont="1" applyBorder="1" applyAlignment="1">
      <alignment horizontal="center" vertical="center"/>
    </xf>
    <xf numFmtId="176" fontId="3" fillId="4" borderId="37" xfId="0" applyNumberFormat="1" applyFont="1" applyFill="1" applyBorder="1" applyAlignment="1">
      <alignment vertical="center"/>
    </xf>
    <xf numFmtId="176" fontId="0" fillId="0" borderId="37" xfId="0" applyNumberFormat="1" applyBorder="1" applyAlignment="1">
      <alignment vertical="center"/>
    </xf>
    <xf numFmtId="176" fontId="4" fillId="4" borderId="37" xfId="0" applyNumberFormat="1" applyFont="1" applyFill="1" applyBorder="1" applyAlignment="1">
      <alignment vertical="center"/>
    </xf>
    <xf numFmtId="0" fontId="0" fillId="0" borderId="27" xfId="0" applyBorder="1" applyAlignment="1">
      <alignment vertical="center"/>
    </xf>
    <xf numFmtId="176" fontId="0" fillId="0" borderId="29" xfId="0" applyNumberFormat="1" applyBorder="1" applyAlignment="1">
      <alignment vertical="center"/>
    </xf>
    <xf numFmtId="176" fontId="13" fillId="4" borderId="38" xfId="0" applyNumberFormat="1" applyFont="1" applyFill="1" applyBorder="1" applyAlignment="1">
      <alignment vertical="center"/>
    </xf>
    <xf numFmtId="0" fontId="3" fillId="4" borderId="36" xfId="0" applyFont="1" applyFill="1" applyBorder="1" applyAlignment="1">
      <alignment horizontal="center" vertical="center"/>
    </xf>
    <xf numFmtId="0" fontId="9" fillId="0" borderId="36" xfId="0" applyFont="1" applyBorder="1" applyAlignment="1">
      <alignment horizontal="center" vertical="center"/>
    </xf>
    <xf numFmtId="0" fontId="9" fillId="0" borderId="39" xfId="0" applyFont="1" applyBorder="1" applyAlignment="1">
      <alignment horizontal="center" vertical="center"/>
    </xf>
    <xf numFmtId="0" fontId="0" fillId="4" borderId="36" xfId="0" applyFill="1" applyBorder="1" applyAlignment="1">
      <alignment horizontal="center" vertical="center"/>
    </xf>
    <xf numFmtId="176" fontId="4" fillId="4" borderId="37" xfId="0" applyNumberFormat="1" applyFont="1" applyFill="1" applyBorder="1" applyAlignment="1">
      <alignment horizontal="right"/>
    </xf>
    <xf numFmtId="177" fontId="0" fillId="3" borderId="0" xfId="0" applyNumberFormat="1" applyFill="1"/>
    <xf numFmtId="2" fontId="18" fillId="0" borderId="0" xfId="0" applyNumberFormat="1" applyFont="1"/>
    <xf numFmtId="0" fontId="19" fillId="0" borderId="0" xfId="0" applyFont="1"/>
    <xf numFmtId="2" fontId="0" fillId="5" borderId="0" xfId="0" applyNumberFormat="1" applyFill="1"/>
    <xf numFmtId="49" fontId="10" fillId="0" borderId="40" xfId="0" applyNumberFormat="1" applyFont="1" applyBorder="1" applyAlignment="1">
      <alignment horizontal="center" vertical="center" wrapText="1"/>
    </xf>
    <xf numFmtId="0" fontId="10" fillId="0" borderId="40" xfId="0" applyFont="1" applyBorder="1" applyAlignment="1">
      <alignment vertical="center" wrapText="1"/>
    </xf>
    <xf numFmtId="2" fontId="1" fillId="0" borderId="40" xfId="1" applyNumberFormat="1" applyFont="1" applyFill="1" applyBorder="1"/>
    <xf numFmtId="0" fontId="0" fillId="0" borderId="40" xfId="0" applyBorder="1" applyAlignment="1">
      <alignment horizontal="center"/>
    </xf>
    <xf numFmtId="176" fontId="0" fillId="0" borderId="40" xfId="0" applyNumberFormat="1" applyBorder="1" applyAlignment="1">
      <alignment vertical="center"/>
    </xf>
    <xf numFmtId="176" fontId="0" fillId="0" borderId="41" xfId="0" applyNumberFormat="1" applyBorder="1" applyAlignment="1">
      <alignment vertical="center"/>
    </xf>
    <xf numFmtId="2" fontId="9" fillId="0" borderId="40" xfId="1" applyNumberFormat="1" applyFont="1" applyFill="1" applyBorder="1"/>
    <xf numFmtId="2" fontId="20" fillId="0" borderId="4" xfId="0" applyNumberFormat="1" applyFont="1" applyBorder="1" applyAlignment="1">
      <alignment horizontal="right" vertical="center"/>
    </xf>
    <xf numFmtId="0" fontId="16" fillId="0" borderId="1" xfId="0" applyFont="1" applyBorder="1" applyAlignment="1">
      <alignment vertical="center" wrapText="1"/>
    </xf>
    <xf numFmtId="2" fontId="20" fillId="0" borderId="42" xfId="0" applyNumberFormat="1" applyFont="1" applyBorder="1" applyAlignment="1">
      <alignment horizontal="right" vertical="center"/>
    </xf>
    <xf numFmtId="2" fontId="20" fillId="4" borderId="4" xfId="0" applyNumberFormat="1" applyFont="1" applyFill="1" applyBorder="1" applyAlignment="1">
      <alignment horizontal="right" vertical="center"/>
    </xf>
    <xf numFmtId="2" fontId="19" fillId="0" borderId="0" xfId="0" applyNumberFormat="1" applyFont="1"/>
    <xf numFmtId="2" fontId="21" fillId="0" borderId="4" xfId="0" applyNumberFormat="1" applyFont="1" applyBorder="1" applyAlignment="1">
      <alignment horizontal="right" vertical="center"/>
    </xf>
    <xf numFmtId="2" fontId="21" fillId="4" borderId="4" xfId="0" applyNumberFormat="1" applyFont="1" applyFill="1" applyBorder="1" applyAlignment="1">
      <alignment horizontal="right" vertical="center"/>
    </xf>
    <xf numFmtId="0" fontId="6" fillId="0" borderId="2" xfId="0" applyFont="1" applyBorder="1" applyAlignment="1">
      <alignment vertical="center" wrapText="1"/>
    </xf>
    <xf numFmtId="2" fontId="9" fillId="0" borderId="1" xfId="0" applyNumberFormat="1" applyFont="1" applyFill="1" applyBorder="1" applyAlignment="1">
      <alignment vertical="center"/>
    </xf>
    <xf numFmtId="0" fontId="6" fillId="0" borderId="43" xfId="0" applyFont="1" applyBorder="1" applyAlignment="1">
      <alignment vertical="center" wrapText="1"/>
    </xf>
    <xf numFmtId="0" fontId="6" fillId="0" borderId="3" xfId="0" applyFont="1" applyBorder="1" applyAlignment="1">
      <alignment vertical="center" wrapText="1"/>
    </xf>
    <xf numFmtId="2" fontId="15" fillId="0" borderId="4" xfId="0" applyNumberFormat="1" applyFont="1" applyBorder="1" applyAlignment="1">
      <alignment horizontal="right" vertical="center"/>
    </xf>
    <xf numFmtId="2" fontId="5" fillId="0" borderId="44" xfId="0" applyNumberFormat="1" applyFont="1" applyBorder="1" applyAlignment="1">
      <alignment horizontal="right" vertical="center"/>
    </xf>
    <xf numFmtId="2" fontId="5" fillId="0" borderId="42" xfId="0" applyNumberFormat="1" applyFont="1" applyBorder="1" applyAlignment="1">
      <alignment horizontal="right" vertical="center"/>
    </xf>
    <xf numFmtId="176" fontId="9" fillId="0" borderId="1" xfId="0" applyNumberFormat="1" applyFont="1" applyBorder="1" applyAlignment="1">
      <alignment vertical="center" wrapText="1"/>
    </xf>
    <xf numFmtId="0" fontId="13" fillId="4" borderId="47" xfId="0" applyFont="1" applyFill="1" applyBorder="1" applyAlignment="1">
      <alignment horizontal="center" vertical="center" wrapText="1"/>
    </xf>
    <xf numFmtId="0" fontId="13" fillId="4" borderId="48"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9" fillId="0" borderId="39" xfId="0" applyFont="1" applyBorder="1" applyAlignment="1">
      <alignment horizontal="center" vertical="center"/>
    </xf>
    <xf numFmtId="0" fontId="9" fillId="0" borderId="40" xfId="0" applyFont="1" applyBorder="1" applyAlignment="1">
      <alignment horizontal="center" vertical="center"/>
    </xf>
    <xf numFmtId="0" fontId="9" fillId="0" borderId="41" xfId="0" applyFont="1" applyBorder="1" applyAlignment="1">
      <alignment horizontal="center" vertical="center"/>
    </xf>
    <xf numFmtId="0" fontId="9" fillId="0" borderId="45" xfId="0" applyFont="1" applyBorder="1" applyAlignment="1">
      <alignment horizontal="center" vertical="center"/>
    </xf>
    <xf numFmtId="0" fontId="9" fillId="0" borderId="28" xfId="0" applyFont="1" applyBorder="1" applyAlignment="1">
      <alignment horizontal="center" vertical="center"/>
    </xf>
    <xf numFmtId="0" fontId="9" fillId="0" borderId="46" xfId="0" applyFont="1" applyBorder="1" applyAlignment="1">
      <alignment horizontal="center" vertical="center"/>
    </xf>
    <xf numFmtId="0" fontId="4" fillId="2" borderId="27" xfId="0" applyFont="1" applyFill="1" applyBorder="1" applyAlignment="1">
      <alignment horizontal="center"/>
    </xf>
    <xf numFmtId="0" fontId="4" fillId="2" borderId="0" xfId="0" applyFont="1" applyFill="1" applyBorder="1" applyAlignment="1">
      <alignment horizontal="center"/>
    </xf>
    <xf numFmtId="0" fontId="4" fillId="2" borderId="29" xfId="0" applyFont="1" applyFill="1" applyBorder="1" applyAlignment="1">
      <alignment horizontal="center"/>
    </xf>
    <xf numFmtId="0" fontId="3" fillId="0" borderId="36" xfId="0" applyFont="1" applyBorder="1" applyAlignment="1">
      <alignment horizontal="left" vertical="center"/>
    </xf>
    <xf numFmtId="0" fontId="3" fillId="0" borderId="1" xfId="0" applyFont="1" applyBorder="1" applyAlignment="1">
      <alignment horizontal="left" vertical="center"/>
    </xf>
    <xf numFmtId="0" fontId="0" fillId="0" borderId="1" xfId="0" applyBorder="1" applyAlignment="1">
      <alignment horizontal="left" vertical="center"/>
    </xf>
    <xf numFmtId="0" fontId="3" fillId="0" borderId="36" xfId="0" applyFont="1" applyBorder="1" applyAlignment="1">
      <alignment horizontal="center" vertical="center"/>
    </xf>
    <xf numFmtId="0" fontId="3" fillId="0" borderId="1" xfId="0" applyFont="1" applyBorder="1" applyAlignment="1">
      <alignment horizontal="center" vertical="center"/>
    </xf>
    <xf numFmtId="0" fontId="0" fillId="0" borderId="4" xfId="0" applyBorder="1" applyAlignment="1">
      <alignment horizontal="center" vertical="center" wrapText="1"/>
    </xf>
    <xf numFmtId="0" fontId="0" fillId="0" borderId="41" xfId="0" applyBorder="1" applyAlignment="1">
      <alignment horizontal="center" vertical="center" wrapText="1"/>
    </xf>
    <xf numFmtId="0" fontId="3" fillId="0" borderId="6" xfId="0" applyFont="1" applyBorder="1" applyAlignment="1">
      <alignment horizontal="center"/>
    </xf>
    <xf numFmtId="0" fontId="3" fillId="0" borderId="0" xfId="0" applyFont="1" applyBorder="1" applyAlignment="1">
      <alignment horizont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9" fillId="0" borderId="0" xfId="0" applyFont="1" applyAlignment="1">
      <alignment horizontal="center" wrapText="1"/>
    </xf>
    <xf numFmtId="0" fontId="0" fillId="0" borderId="0" xfId="0" applyAlignment="1">
      <alignment horizontal="center"/>
    </xf>
    <xf numFmtId="0" fontId="5" fillId="0" borderId="50" xfId="0" applyFont="1" applyBorder="1" applyAlignment="1">
      <alignment horizontal="center" vertical="center" wrapText="1"/>
    </xf>
    <xf numFmtId="0" fontId="5" fillId="0" borderId="51" xfId="0" applyFont="1" applyBorder="1" applyAlignment="1">
      <alignment horizontal="center" vertical="center" wrapText="1"/>
    </xf>
    <xf numFmtId="0" fontId="3" fillId="3" borderId="2" xfId="0" applyFont="1" applyFill="1" applyBorder="1" applyAlignment="1">
      <alignment vertical="top" wrapText="1"/>
    </xf>
    <xf numFmtId="0" fontId="3" fillId="3" borderId="57" xfId="0" applyFont="1" applyFill="1" applyBorder="1" applyAlignment="1">
      <alignment horizontal="center" vertical="center"/>
    </xf>
    <xf numFmtId="0" fontId="3" fillId="3" borderId="58"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45" xfId="0" applyFont="1" applyFill="1" applyBorder="1" applyAlignment="1">
      <alignment horizontal="left" vertical="center"/>
    </xf>
    <xf numFmtId="0" fontId="3" fillId="3" borderId="28" xfId="0" applyFont="1" applyFill="1" applyBorder="1" applyAlignment="1">
      <alignment horizontal="left" vertical="center"/>
    </xf>
    <xf numFmtId="0" fontId="3" fillId="3" borderId="8" xfId="0" applyFont="1" applyFill="1" applyBorder="1" applyAlignment="1">
      <alignment horizontal="left" vertical="center"/>
    </xf>
    <xf numFmtId="0" fontId="3" fillId="3" borderId="14" xfId="0" applyFont="1" applyFill="1" applyBorder="1" applyAlignment="1">
      <alignment horizontal="left" vertical="center"/>
    </xf>
    <xf numFmtId="0" fontId="3" fillId="3" borderId="60" xfId="0" applyFont="1" applyFill="1" applyBorder="1" applyAlignment="1">
      <alignment horizontal="left" vertical="center"/>
    </xf>
    <xf numFmtId="177" fontId="3" fillId="3" borderId="60" xfId="0" applyNumberFormat="1" applyFont="1" applyFill="1" applyBorder="1" applyAlignment="1">
      <alignment horizontal="left" vertical="center"/>
    </xf>
    <xf numFmtId="0" fontId="3" fillId="3" borderId="3" xfId="0" applyFont="1" applyFill="1" applyBorder="1" applyAlignment="1">
      <alignment horizontal="left" vertical="center"/>
    </xf>
    <xf numFmtId="0" fontId="3" fillId="3" borderId="61" xfId="0" applyFont="1" applyFill="1" applyBorder="1" applyAlignment="1">
      <alignment horizontal="left" vertical="center"/>
    </xf>
    <xf numFmtId="0" fontId="3" fillId="3" borderId="47" xfId="0" applyFont="1" applyFill="1" applyBorder="1" applyAlignment="1">
      <alignment horizontal="left" vertical="center"/>
    </xf>
    <xf numFmtId="0" fontId="3" fillId="3" borderId="48" xfId="0" applyFont="1" applyFill="1" applyBorder="1" applyAlignment="1">
      <alignment horizontal="left" vertical="center"/>
    </xf>
    <xf numFmtId="0" fontId="3" fillId="3" borderId="49" xfId="0" applyFont="1" applyFill="1" applyBorder="1" applyAlignment="1">
      <alignment horizontal="left" vertical="center"/>
    </xf>
    <xf numFmtId="0" fontId="3" fillId="3" borderId="62" xfId="0" applyFont="1" applyFill="1" applyBorder="1" applyAlignment="1">
      <alignment horizontal="left" vertical="center"/>
    </xf>
    <xf numFmtId="0" fontId="3" fillId="3" borderId="63" xfId="0" applyFont="1" applyFill="1" applyBorder="1" applyAlignment="1">
      <alignment horizontal="left" vertical="center"/>
    </xf>
    <xf numFmtId="49" fontId="5" fillId="0" borderId="55"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0" fontId="5" fillId="0" borderId="56" xfId="0" applyFont="1" applyBorder="1" applyAlignment="1">
      <alignment horizontal="left" vertical="center" wrapText="1"/>
    </xf>
    <xf numFmtId="0" fontId="5" fillId="0" borderId="54" xfId="0" applyFont="1" applyBorder="1" applyAlignment="1">
      <alignment horizontal="left" vertical="center" wrapText="1"/>
    </xf>
    <xf numFmtId="0" fontId="3" fillId="3" borderId="54" xfId="0" applyFont="1" applyFill="1" applyBorder="1" applyAlignment="1">
      <alignment vertical="top" wrapText="1"/>
    </xf>
    <xf numFmtId="49" fontId="11" fillId="3" borderId="2" xfId="0" applyNumberFormat="1" applyFont="1" applyFill="1" applyBorder="1" applyAlignment="1">
      <alignment vertical="top" wrapText="1"/>
    </xf>
    <xf numFmtId="49" fontId="11" fillId="3" borderId="16" xfId="0" applyNumberFormat="1" applyFont="1" applyFill="1" applyBorder="1" applyAlignment="1">
      <alignment vertical="top" wrapText="1"/>
    </xf>
    <xf numFmtId="49" fontId="11" fillId="3" borderId="19" xfId="0" applyNumberFormat="1" applyFont="1" applyFill="1" applyBorder="1" applyAlignment="1">
      <alignment vertical="top" wrapText="1"/>
    </xf>
    <xf numFmtId="0" fontId="3" fillId="3" borderId="52" xfId="0" applyFont="1" applyFill="1" applyBorder="1" applyAlignment="1">
      <alignment horizontal="center" vertical="center" wrapText="1"/>
    </xf>
    <xf numFmtId="0" fontId="3" fillId="3" borderId="5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2" fillId="0" borderId="53" xfId="0" applyFont="1" applyBorder="1" applyAlignment="1">
      <alignment horizontal="center" vertical="center"/>
    </xf>
    <xf numFmtId="0" fontId="2" fillId="0" borderId="0" xfId="0" applyFont="1" applyAlignment="1">
      <alignment horizontal="center" vertical="center"/>
    </xf>
    <xf numFmtId="0" fontId="0" fillId="0" borderId="28" xfId="0" applyBorder="1" applyAlignment="1">
      <alignment horizontal="center" vertical="center"/>
    </xf>
    <xf numFmtId="0" fontId="2" fillId="0" borderId="48" xfId="0" applyFont="1" applyBorder="1" applyAlignment="1">
      <alignment horizontal="center" vertical="center"/>
    </xf>
    <xf numFmtId="0" fontId="3" fillId="3" borderId="19" xfId="0" applyFont="1" applyFill="1" applyBorder="1" applyAlignment="1">
      <alignment vertical="top" wrapText="1"/>
    </xf>
    <xf numFmtId="0" fontId="3" fillId="3" borderId="3" xfId="0" applyFont="1" applyFill="1" applyBorder="1" applyAlignment="1">
      <alignment vertical="top" wrapText="1"/>
    </xf>
  </cellXfs>
  <cellStyles count="2">
    <cellStyle name="Normal" xfId="0" builtinId="0"/>
    <cellStyle name="Vírgula"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269875</xdr:colOff>
      <xdr:row>0</xdr:row>
      <xdr:rowOff>0</xdr:rowOff>
    </xdr:from>
    <xdr:to>
      <xdr:col>2</xdr:col>
      <xdr:colOff>3768728</xdr:colOff>
      <xdr:row>1</xdr:row>
      <xdr:rowOff>60354</xdr:rowOff>
    </xdr:to>
    <xdr:sp macro="" textlink="">
      <xdr:nvSpPr>
        <xdr:cNvPr id="1030" name="Text Box 6"/>
        <xdr:cNvSpPr txBox="1">
          <a:spLocks noChangeArrowheads="1"/>
        </xdr:cNvSpPr>
      </xdr:nvSpPr>
      <xdr:spPr bwMode="auto">
        <a:xfrm>
          <a:off x="885825" y="0"/>
          <a:ext cx="3495675" cy="695325"/>
        </a:xfrm>
        <a:prstGeom prst="rect">
          <a:avLst/>
        </a:prstGeom>
        <a:noFill/>
        <a:ln w="9525">
          <a:noFill/>
          <a:miter lim="800000"/>
          <a:headEnd/>
          <a:tailEnd/>
        </a:ln>
      </xdr:spPr>
      <xdr:txBody>
        <a:bodyPr vertOverflow="clip" wrap="square" lIns="27432" tIns="22860" rIns="0" bIns="0" anchor="t" upright="1"/>
        <a:lstStyle/>
        <a:p>
          <a:pPr algn="l" rtl="1">
            <a:defRPr sz="1000"/>
          </a:pPr>
          <a:r>
            <a:rPr lang="pt-BR" sz="1100" b="0" i="0" strike="noStrike">
              <a:solidFill>
                <a:srgbClr val="000000"/>
              </a:solidFill>
              <a:latin typeface="Arial"/>
              <a:cs typeface="Arial"/>
            </a:rPr>
            <a:t>ESTADO DE MINAS GERAIS</a:t>
          </a:r>
          <a:endParaRPr lang="pt-BR" sz="1000" b="0" i="0" strike="noStrike">
            <a:solidFill>
              <a:srgbClr val="000000"/>
            </a:solidFill>
            <a:latin typeface="Arial"/>
            <a:cs typeface="Arial"/>
          </a:endParaRPr>
        </a:p>
        <a:p>
          <a:pPr algn="l" rtl="1">
            <a:defRPr sz="1000"/>
          </a:pPr>
          <a:r>
            <a:rPr lang="pt-BR" sz="800" b="0" i="0" strike="noStrike">
              <a:solidFill>
                <a:srgbClr val="000000"/>
              </a:solidFill>
              <a:latin typeface="Arial"/>
              <a:cs typeface="Arial"/>
            </a:rPr>
            <a:t>Secretaria de Estado de Transportes e Obras Públicas</a:t>
          </a:r>
        </a:p>
        <a:p>
          <a:pPr algn="l" rtl="1">
            <a:defRPr sz="1000"/>
          </a:pPr>
          <a:r>
            <a:rPr lang="pt-BR" sz="800" b="0" i="0" strike="noStrike">
              <a:solidFill>
                <a:srgbClr val="000000"/>
              </a:solidFill>
              <a:latin typeface="Arial"/>
              <a:cs typeface="Arial"/>
            </a:rPr>
            <a:t>Superintendência de Apoio a Infra-estrutura Municipal</a:t>
          </a:r>
        </a:p>
        <a:p>
          <a:pPr algn="l" rtl="1">
            <a:defRPr sz="1000"/>
          </a:pPr>
          <a:r>
            <a:rPr lang="pt-BR" sz="800" b="0" i="0" strike="noStrike">
              <a:solidFill>
                <a:srgbClr val="000000"/>
              </a:solidFill>
              <a:latin typeface="Arial"/>
              <a:cs typeface="Arial"/>
            </a:rPr>
            <a:t>Diretoria de Prestação de Contas</a:t>
          </a:r>
        </a:p>
      </xdr:txBody>
    </xdr:sp>
    <xdr:clientData/>
  </xdr:twoCellAnchor>
  <mc:AlternateContent xmlns:mc="http://schemas.openxmlformats.org/markup-compatibility/2006">
    <mc:Choice xmlns:a14="http://schemas.microsoft.com/office/drawing/2010/main" Requires="a14">
      <xdr:twoCellAnchor editAs="oneCell">
        <xdr:from>
          <xdr:col>0</xdr:col>
          <xdr:colOff>66675</xdr:colOff>
          <xdr:row>0</xdr:row>
          <xdr:rowOff>0</xdr:rowOff>
        </xdr:from>
        <xdr:to>
          <xdr:col>1</xdr:col>
          <xdr:colOff>304800</xdr:colOff>
          <xdr:row>0</xdr:row>
          <xdr:rowOff>619125</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615950</xdr:colOff>
      <xdr:row>58</xdr:row>
      <xdr:rowOff>0</xdr:rowOff>
    </xdr:from>
    <xdr:to>
      <xdr:col>9</xdr:col>
      <xdr:colOff>801994</xdr:colOff>
      <xdr:row>58</xdr:row>
      <xdr:rowOff>19050</xdr:rowOff>
    </xdr:to>
    <xdr:sp macro="" textlink="">
      <xdr:nvSpPr>
        <xdr:cNvPr id="2" name="Text Box 7"/>
        <xdr:cNvSpPr txBox="1">
          <a:spLocks noChangeArrowheads="1"/>
        </xdr:cNvSpPr>
      </xdr:nvSpPr>
      <xdr:spPr bwMode="auto">
        <a:xfrm>
          <a:off x="619125" y="7848600"/>
          <a:ext cx="10174593" cy="419100"/>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1100" b="1" i="0" u="none" strike="noStrike" baseline="0">
            <a:solidFill>
              <a:srgbClr val="FF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121"/>
  <sheetViews>
    <sheetView tabSelected="1" topLeftCell="A12" zoomScaleNormal="100" workbookViewId="0">
      <selection activeCell="F9" sqref="F9:F14"/>
    </sheetView>
  </sheetViews>
  <sheetFormatPr defaultRowHeight="12.75" x14ac:dyDescent="0.2"/>
  <cols>
    <col min="2" max="2" width="13.7109375" bestFit="1" customWidth="1"/>
    <col min="3" max="3" width="68.5703125" customWidth="1"/>
    <col min="4" max="5" width="13.7109375" customWidth="1"/>
    <col min="6" max="6" width="17.7109375" customWidth="1"/>
    <col min="7" max="7" width="22" customWidth="1"/>
    <col min="10" max="10" width="13.140625" bestFit="1" customWidth="1"/>
    <col min="12" max="12" width="11.28515625" bestFit="1" customWidth="1"/>
  </cols>
  <sheetData>
    <row r="1" spans="1:7" ht="49.5" customHeight="1" x14ac:dyDescent="0.2">
      <c r="A1" s="132"/>
      <c r="B1" s="133"/>
      <c r="C1" s="134"/>
      <c r="D1" s="133"/>
      <c r="E1" s="133"/>
      <c r="F1" s="133"/>
      <c r="G1" s="135"/>
    </row>
    <row r="2" spans="1:7" ht="15.75" x14ac:dyDescent="0.25">
      <c r="A2" s="188" t="s">
        <v>10</v>
      </c>
      <c r="B2" s="189"/>
      <c r="C2" s="189"/>
      <c r="D2" s="189"/>
      <c r="E2" s="189"/>
      <c r="F2" s="189"/>
      <c r="G2" s="190"/>
    </row>
    <row r="3" spans="1:7" ht="4.5" customHeight="1" x14ac:dyDescent="0.2">
      <c r="A3" s="136"/>
      <c r="B3" s="137"/>
      <c r="C3" s="137"/>
      <c r="D3" s="137"/>
      <c r="E3" s="137"/>
      <c r="F3" s="137"/>
      <c r="G3" s="138"/>
    </row>
    <row r="4" spans="1:7" ht="20.100000000000001" customHeight="1" x14ac:dyDescent="0.2">
      <c r="A4" s="194" t="s">
        <v>6</v>
      </c>
      <c r="B4" s="195"/>
      <c r="C4" s="195"/>
      <c r="D4" s="195"/>
      <c r="E4" s="195"/>
      <c r="F4" s="195"/>
      <c r="G4" s="140" t="s">
        <v>7</v>
      </c>
    </row>
    <row r="5" spans="1:7" ht="20.100000000000001" customHeight="1" x14ac:dyDescent="0.2">
      <c r="A5" s="191" t="s">
        <v>370</v>
      </c>
      <c r="B5" s="192"/>
      <c r="C5" s="193"/>
      <c r="D5" s="193"/>
      <c r="E5" s="193"/>
      <c r="F5" s="193"/>
      <c r="G5" s="140" t="s">
        <v>8</v>
      </c>
    </row>
    <row r="6" spans="1:7" ht="20.100000000000001" customHeight="1" x14ac:dyDescent="0.2">
      <c r="A6" s="191" t="s">
        <v>9</v>
      </c>
      <c r="B6" s="192"/>
      <c r="C6" s="193"/>
      <c r="D6" s="44" t="s">
        <v>95</v>
      </c>
      <c r="E6" s="122">
        <v>0.27360000000000001</v>
      </c>
      <c r="F6" s="196"/>
      <c r="G6" s="197"/>
    </row>
    <row r="7" spans="1:7" ht="20.100000000000001" customHeight="1" x14ac:dyDescent="0.2">
      <c r="A7" s="139" t="s">
        <v>0</v>
      </c>
      <c r="B7" s="1" t="s">
        <v>25</v>
      </c>
      <c r="C7" s="1" t="s">
        <v>1</v>
      </c>
      <c r="D7" s="1" t="s">
        <v>2</v>
      </c>
      <c r="E7" s="1" t="s">
        <v>3</v>
      </c>
      <c r="F7" s="1" t="s">
        <v>4</v>
      </c>
      <c r="G7" s="141" t="s">
        <v>96</v>
      </c>
    </row>
    <row r="8" spans="1:7" ht="15.75" x14ac:dyDescent="0.25">
      <c r="A8" s="148">
        <v>1</v>
      </c>
      <c r="B8" s="7"/>
      <c r="C8" s="4" t="s">
        <v>21</v>
      </c>
      <c r="D8" s="5"/>
      <c r="E8" s="8"/>
      <c r="F8" s="107"/>
      <c r="G8" s="142">
        <f>G9+G14+G10+G11+G12+G13</f>
        <v>26609.897665280001</v>
      </c>
    </row>
    <row r="9" spans="1:7" ht="36.75" customHeight="1" x14ac:dyDescent="0.2">
      <c r="A9" s="149" t="s">
        <v>196</v>
      </c>
      <c r="B9" s="10" t="s">
        <v>307</v>
      </c>
      <c r="C9" s="171" t="s">
        <v>308</v>
      </c>
      <c r="D9" s="172">
        <f>26.2*2*0.15+(0.8*2.1)</f>
        <v>9.5399999999999991</v>
      </c>
      <c r="E9" s="131" t="s">
        <v>13</v>
      </c>
      <c r="F9" s="45">
        <v>109.09</v>
      </c>
      <c r="G9" s="143">
        <f>D9*F9*(1+E6)</f>
        <v>1325.4592089600001</v>
      </c>
    </row>
    <row r="10" spans="1:7" ht="48" x14ac:dyDescent="0.2">
      <c r="A10" s="149" t="s">
        <v>197</v>
      </c>
      <c r="B10" s="12" t="s">
        <v>265</v>
      </c>
      <c r="C10" s="173" t="s">
        <v>369</v>
      </c>
      <c r="D10" s="172">
        <v>1</v>
      </c>
      <c r="E10" s="131" t="s">
        <v>20</v>
      </c>
      <c r="F10" s="45">
        <v>169.88</v>
      </c>
      <c r="G10" s="143">
        <f>D10*F10*(1+E6)</f>
        <v>216.35916800000001</v>
      </c>
    </row>
    <row r="11" spans="1:7" ht="48" x14ac:dyDescent="0.2">
      <c r="A11" s="149" t="s">
        <v>293</v>
      </c>
      <c r="B11" s="12" t="s">
        <v>264</v>
      </c>
      <c r="C11" s="128" t="s">
        <v>263</v>
      </c>
      <c r="D11" s="172">
        <f>28.2+28.2+13+13</f>
        <v>82.4</v>
      </c>
      <c r="E11" s="131" t="s">
        <v>90</v>
      </c>
      <c r="F11" s="45">
        <v>216.55</v>
      </c>
      <c r="G11" s="143">
        <f>D11*F11*(1+E6)</f>
        <v>22725.761792000001</v>
      </c>
    </row>
    <row r="12" spans="1:7" ht="48" x14ac:dyDescent="0.2">
      <c r="A12" s="149" t="s">
        <v>294</v>
      </c>
      <c r="B12" s="12" t="s">
        <v>310</v>
      </c>
      <c r="C12" s="174" t="s">
        <v>311</v>
      </c>
      <c r="D12" s="172">
        <f>5*3.5+(1.8*0.6)</f>
        <v>18.579999999999998</v>
      </c>
      <c r="E12" s="131" t="s">
        <v>11</v>
      </c>
      <c r="F12" s="45">
        <v>19.39</v>
      </c>
      <c r="G12" s="143">
        <f>D12*F12*(1+E6)</f>
        <v>458.83503231999998</v>
      </c>
    </row>
    <row r="13" spans="1:7" x14ac:dyDescent="0.2">
      <c r="A13" s="149" t="s">
        <v>356</v>
      </c>
      <c r="B13" s="12" t="s">
        <v>309</v>
      </c>
      <c r="C13" s="128" t="s">
        <v>312</v>
      </c>
      <c r="D13" s="172">
        <v>35</v>
      </c>
      <c r="E13" s="131" t="s">
        <v>13</v>
      </c>
      <c r="F13" s="45">
        <v>9.9600000000000009</v>
      </c>
      <c r="G13" s="143">
        <f>D13*F13*(1+E6)</f>
        <v>443.97696000000008</v>
      </c>
    </row>
    <row r="14" spans="1:7" ht="60" x14ac:dyDescent="0.2">
      <c r="A14" s="149" t="s">
        <v>357</v>
      </c>
      <c r="B14" s="12" t="s">
        <v>99</v>
      </c>
      <c r="C14" s="128" t="s">
        <v>236</v>
      </c>
      <c r="D14" s="56">
        <v>4.5</v>
      </c>
      <c r="E14" s="47" t="s">
        <v>11</v>
      </c>
      <c r="F14" s="45">
        <v>251.17</v>
      </c>
      <c r="G14" s="143">
        <f>D14*F14*(1+E6)</f>
        <v>1439.505504</v>
      </c>
    </row>
    <row r="15" spans="1:7" x14ac:dyDescent="0.2">
      <c r="A15" s="182"/>
      <c r="B15" s="183"/>
      <c r="C15" s="183"/>
      <c r="D15" s="183"/>
      <c r="E15" s="183"/>
      <c r="F15" s="183"/>
      <c r="G15" s="184"/>
    </row>
    <row r="16" spans="1:7" ht="15.75" x14ac:dyDescent="0.25">
      <c r="A16" s="148">
        <v>2</v>
      </c>
      <c r="B16" s="7"/>
      <c r="C16" s="4" t="s">
        <v>14</v>
      </c>
      <c r="D16" s="5"/>
      <c r="E16" s="8"/>
      <c r="F16" s="107"/>
      <c r="G16" s="144">
        <f>G17</f>
        <v>7086.0836991999995</v>
      </c>
    </row>
    <row r="17" spans="1:12" ht="24" x14ac:dyDescent="0.2">
      <c r="A17" s="149" t="s">
        <v>198</v>
      </c>
      <c r="B17" s="10" t="s">
        <v>100</v>
      </c>
      <c r="C17" s="11" t="s">
        <v>235</v>
      </c>
      <c r="D17" s="56">
        <f>33.4+33.4+14+5.3+5.2</f>
        <v>91.3</v>
      </c>
      <c r="E17" s="51" t="s">
        <v>90</v>
      </c>
      <c r="F17" s="45">
        <v>60.94</v>
      </c>
      <c r="G17" s="143">
        <f>D17*F17*(1+E6)</f>
        <v>7086.0836991999995</v>
      </c>
    </row>
    <row r="18" spans="1:12" x14ac:dyDescent="0.2">
      <c r="A18" s="185"/>
      <c r="B18" s="186"/>
      <c r="C18" s="186"/>
      <c r="D18" s="186"/>
      <c r="E18" s="186"/>
      <c r="F18" s="186"/>
      <c r="G18" s="187"/>
    </row>
    <row r="19" spans="1:12" ht="15.75" x14ac:dyDescent="0.25">
      <c r="A19" s="148">
        <v>3</v>
      </c>
      <c r="B19" s="7"/>
      <c r="C19" s="4" t="s">
        <v>195</v>
      </c>
      <c r="D19" s="5"/>
      <c r="E19" s="8"/>
      <c r="F19" s="107"/>
      <c r="G19" s="144">
        <f>G20+G21</f>
        <v>5795.419395072001</v>
      </c>
      <c r="L19" s="14"/>
    </row>
    <row r="20" spans="1:12" ht="24" x14ac:dyDescent="0.2">
      <c r="A20" s="149" t="s">
        <v>199</v>
      </c>
      <c r="B20" s="10" t="s">
        <v>101</v>
      </c>
      <c r="C20" s="13" t="s">
        <v>102</v>
      </c>
      <c r="D20" s="15">
        <f>((10.5+10.5+7.75+4.15+4.1+2.45+2.45+4.15+4.15+4.15+4.15+5.2+26.2+5.2+26.2)*0.2*0.4)+(30*0.95*0.8*1)+(14.8*0.2*0.4)+(2*0.7*0.8*0.8)+(2*0.8*0.9*0.8)</f>
        <v>35.736000000000004</v>
      </c>
      <c r="E20" s="2" t="s">
        <v>13</v>
      </c>
      <c r="F20" s="45">
        <v>71.42</v>
      </c>
      <c r="G20" s="143">
        <f>D20*F20*(1+E6)</f>
        <v>3250.5648568320007</v>
      </c>
      <c r="I20" s="14"/>
    </row>
    <row r="21" spans="1:12" ht="24" x14ac:dyDescent="0.2">
      <c r="A21" s="150" t="s">
        <v>200</v>
      </c>
      <c r="B21" s="10" t="s">
        <v>103</v>
      </c>
      <c r="C21" s="13" t="s">
        <v>104</v>
      </c>
      <c r="D21" s="15">
        <f>((10.5+10.5+7.75+4.15+4.1+2.45+2.45+4.15+4.15+4.15+4.15+5.2+26.2+5.2+26.2)*0.2)+(30*0.95*0.8)+(38*0.8)+(14.8*0.2)+(2*0.7*0.8)+(2*0.8*0.9)</f>
        <v>82.98</v>
      </c>
      <c r="E21" s="2" t="s">
        <v>11</v>
      </c>
      <c r="F21" s="45">
        <v>24.08</v>
      </c>
      <c r="G21" s="143">
        <f>D21*F21*(1+E6)</f>
        <v>2544.8545382400002</v>
      </c>
    </row>
    <row r="22" spans="1:12" x14ac:dyDescent="0.2">
      <c r="A22" s="150"/>
      <c r="B22" s="157"/>
      <c r="C22" s="158"/>
      <c r="D22" s="159"/>
      <c r="E22" s="160"/>
      <c r="F22" s="161"/>
      <c r="G22" s="162"/>
    </row>
    <row r="23" spans="1:12" ht="15.75" x14ac:dyDescent="0.25">
      <c r="A23" s="148">
        <v>4</v>
      </c>
      <c r="B23" s="7"/>
      <c r="C23" s="4" t="s">
        <v>313</v>
      </c>
      <c r="D23" s="5"/>
      <c r="E23" s="8"/>
      <c r="F23" s="107"/>
      <c r="G23" s="144">
        <f>G24+G25+G26+G27+G28+G29+G30+G31+G32</f>
        <v>13052.312646016</v>
      </c>
    </row>
    <row r="24" spans="1:12" ht="24" x14ac:dyDescent="0.2">
      <c r="A24" s="149" t="s">
        <v>201</v>
      </c>
      <c r="B24" s="10" t="s">
        <v>101</v>
      </c>
      <c r="C24" s="13" t="s">
        <v>102</v>
      </c>
      <c r="D24" s="15">
        <f>(3*0.6*0.6*0.8)+(1.8*0.2*0.4)</f>
        <v>1.008</v>
      </c>
      <c r="E24" s="2" t="s">
        <v>13</v>
      </c>
      <c r="F24" s="45">
        <v>71.42</v>
      </c>
      <c r="G24" s="143">
        <f>D24*F24*(1+E6)</f>
        <v>91.688196095999999</v>
      </c>
    </row>
    <row r="25" spans="1:12" ht="24" x14ac:dyDescent="0.2">
      <c r="A25" s="149" t="s">
        <v>202</v>
      </c>
      <c r="B25" s="10" t="s">
        <v>103</v>
      </c>
      <c r="C25" s="13" t="s">
        <v>104</v>
      </c>
      <c r="D25" s="15">
        <f>(3*0.6*0.6)+(1.8*0.2)</f>
        <v>1.44</v>
      </c>
      <c r="E25" s="2" t="s">
        <v>11</v>
      </c>
      <c r="F25" s="45">
        <v>24.08</v>
      </c>
      <c r="G25" s="143">
        <f>D25*F25*(1+E6)</f>
        <v>44.162334719999997</v>
      </c>
    </row>
    <row r="26" spans="1:12" ht="36" x14ac:dyDescent="0.2">
      <c r="A26" s="149" t="s">
        <v>295</v>
      </c>
      <c r="B26" s="10" t="s">
        <v>105</v>
      </c>
      <c r="C26" s="13" t="s">
        <v>106</v>
      </c>
      <c r="D26" s="15">
        <f>(3*3.5*2*2)+(2*5*0.4)</f>
        <v>46</v>
      </c>
      <c r="E26" s="16" t="s">
        <v>11</v>
      </c>
      <c r="F26" s="45">
        <v>75.790000000000006</v>
      </c>
      <c r="G26" s="143">
        <f>D26*F26*(1+E6)</f>
        <v>4440.2026240000005</v>
      </c>
    </row>
    <row r="27" spans="1:12" ht="24" x14ac:dyDescent="0.2">
      <c r="A27" s="149" t="s">
        <v>314</v>
      </c>
      <c r="B27" s="10" t="s">
        <v>97</v>
      </c>
      <c r="C27" s="13" t="s">
        <v>98</v>
      </c>
      <c r="D27" s="15">
        <f>(3*3.5*2*0.4*0.2)+(2*5*0.2*0.4)</f>
        <v>2.4800000000000004</v>
      </c>
      <c r="E27" s="16" t="s">
        <v>13</v>
      </c>
      <c r="F27" s="45">
        <v>759.15</v>
      </c>
      <c r="G27" s="143">
        <f>D27*F27*(1+E6)</f>
        <v>2397.7965312000006</v>
      </c>
    </row>
    <row r="28" spans="1:12" x14ac:dyDescent="0.2">
      <c r="A28" s="149" t="s">
        <v>315</v>
      </c>
      <c r="B28" s="10" t="s">
        <v>35</v>
      </c>
      <c r="C28" s="13" t="s">
        <v>36</v>
      </c>
      <c r="D28" s="15">
        <f>(3*6*0.93*3.5)+(5*3*4*0.93)+(3*10*0.6*0.395)</f>
        <v>121.50000000000001</v>
      </c>
      <c r="E28" s="16" t="s">
        <v>37</v>
      </c>
      <c r="F28" s="45">
        <v>11.38</v>
      </c>
      <c r="G28" s="143">
        <f>D28*F28*(1+E6)</f>
        <v>1760.9685120000004</v>
      </c>
    </row>
    <row r="29" spans="1:12" ht="36" x14ac:dyDescent="0.2">
      <c r="A29" s="149" t="s">
        <v>316</v>
      </c>
      <c r="B29" s="10" t="s">
        <v>329</v>
      </c>
      <c r="C29" s="158" t="s">
        <v>330</v>
      </c>
      <c r="D29" s="56">
        <f>3.6*5</f>
        <v>18</v>
      </c>
      <c r="E29" s="50" t="s">
        <v>11</v>
      </c>
      <c r="F29" s="45">
        <v>91.81</v>
      </c>
      <c r="G29" s="143">
        <f>D29*F29*(1+E6)</f>
        <v>2104.7258879999999</v>
      </c>
    </row>
    <row r="30" spans="1:12" ht="48" x14ac:dyDescent="0.2">
      <c r="A30" s="149" t="s">
        <v>317</v>
      </c>
      <c r="B30" s="10" t="s">
        <v>128</v>
      </c>
      <c r="C30" s="13" t="s">
        <v>129</v>
      </c>
      <c r="D30" s="56">
        <f>(5*3.5)+(5*1.85)</f>
        <v>26.75</v>
      </c>
      <c r="E30" s="48" t="s">
        <v>11</v>
      </c>
      <c r="F30" s="45">
        <v>9.58</v>
      </c>
      <c r="G30" s="143">
        <f>D30*F30*(1+E6)</f>
        <v>326.37910399999998</v>
      </c>
    </row>
    <row r="31" spans="1:12" ht="36" x14ac:dyDescent="0.2">
      <c r="A31" s="149" t="s">
        <v>318</v>
      </c>
      <c r="B31" s="10" t="s">
        <v>132</v>
      </c>
      <c r="C31" s="13" t="s">
        <v>133</v>
      </c>
      <c r="D31" s="56">
        <f>D30</f>
        <v>26.75</v>
      </c>
      <c r="E31" s="48" t="s">
        <v>11</v>
      </c>
      <c r="F31" s="45">
        <v>32.61</v>
      </c>
      <c r="G31" s="143">
        <f>D31*F31*(1+E6)</f>
        <v>1110.9835680000001</v>
      </c>
    </row>
    <row r="32" spans="1:12" ht="24" x14ac:dyDescent="0.2">
      <c r="A32" s="149" t="s">
        <v>319</v>
      </c>
      <c r="B32" s="10" t="s">
        <v>331</v>
      </c>
      <c r="C32" s="13" t="s">
        <v>332</v>
      </c>
      <c r="D32" s="56">
        <f>D30</f>
        <v>26.75</v>
      </c>
      <c r="E32" s="48" t="s">
        <v>11</v>
      </c>
      <c r="F32" s="45">
        <v>22.76</v>
      </c>
      <c r="G32" s="143">
        <f>D32*F32*(1+E6)</f>
        <v>775.40588800000012</v>
      </c>
    </row>
    <row r="33" spans="1:7" x14ac:dyDescent="0.2">
      <c r="A33" s="150"/>
      <c r="B33" s="157"/>
      <c r="C33" s="158"/>
      <c r="D33" s="163"/>
      <c r="E33" s="160"/>
      <c r="F33" s="161"/>
      <c r="G33" s="162"/>
    </row>
    <row r="34" spans="1:7" ht="15.75" x14ac:dyDescent="0.25">
      <c r="A34" s="151">
        <v>5</v>
      </c>
      <c r="B34" s="7"/>
      <c r="C34" s="4" t="s">
        <v>87</v>
      </c>
      <c r="D34" s="5"/>
      <c r="E34" s="6"/>
      <c r="F34" s="107"/>
      <c r="G34" s="144">
        <f>G35+G36+G37</f>
        <v>75172.28375040002</v>
      </c>
    </row>
    <row r="35" spans="1:7" ht="36" x14ac:dyDescent="0.2">
      <c r="A35" s="150" t="s">
        <v>203</v>
      </c>
      <c r="B35" s="10" t="s">
        <v>105</v>
      </c>
      <c r="C35" s="13" t="s">
        <v>106</v>
      </c>
      <c r="D35" s="15">
        <f>'Memória de cálculo'!D14</f>
        <v>261.60000000000002</v>
      </c>
      <c r="E35" s="16" t="s">
        <v>11</v>
      </c>
      <c r="F35" s="45">
        <v>75.790000000000006</v>
      </c>
      <c r="G35" s="143">
        <f>D35*F35*(1+E6)</f>
        <v>25251.239270400009</v>
      </c>
    </row>
    <row r="36" spans="1:7" ht="24" x14ac:dyDescent="0.2">
      <c r="A36" s="150" t="s">
        <v>204</v>
      </c>
      <c r="B36" s="10" t="s">
        <v>97</v>
      </c>
      <c r="C36" s="13" t="s">
        <v>98</v>
      </c>
      <c r="D36" s="15">
        <f>'Memória de cálculo'!D15</f>
        <v>25.6</v>
      </c>
      <c r="E36" s="16" t="s">
        <v>13</v>
      </c>
      <c r="F36" s="45">
        <v>759.15</v>
      </c>
      <c r="G36" s="143">
        <f>D36*F36*(1+E6)</f>
        <v>24751.448064000004</v>
      </c>
    </row>
    <row r="37" spans="1:7" x14ac:dyDescent="0.2">
      <c r="A37" s="150" t="s">
        <v>205</v>
      </c>
      <c r="B37" s="10" t="s">
        <v>107</v>
      </c>
      <c r="C37" s="13" t="s">
        <v>108</v>
      </c>
      <c r="D37" s="15">
        <f>'Memória de cálculo'!D16</f>
        <v>1401.6000000000001</v>
      </c>
      <c r="E37" s="16" t="s">
        <v>37</v>
      </c>
      <c r="F37" s="45">
        <v>14.1</v>
      </c>
      <c r="G37" s="143">
        <f>D37*F37*(1+E6)</f>
        <v>25169.596416000004</v>
      </c>
    </row>
    <row r="38" spans="1:7" x14ac:dyDescent="0.2">
      <c r="A38" s="182"/>
      <c r="B38" s="183"/>
      <c r="C38" s="183"/>
      <c r="D38" s="183"/>
      <c r="E38" s="183"/>
      <c r="F38" s="183"/>
      <c r="G38" s="184"/>
    </row>
    <row r="39" spans="1:7" ht="15.75" x14ac:dyDescent="0.25">
      <c r="A39" s="148">
        <v>6</v>
      </c>
      <c r="B39" s="7"/>
      <c r="C39" s="4" t="s">
        <v>88</v>
      </c>
      <c r="D39" s="5"/>
      <c r="E39" s="6"/>
      <c r="F39" s="107"/>
      <c r="G39" s="144">
        <f>G40+G41+G42</f>
        <v>47669.362982400002</v>
      </c>
    </row>
    <row r="40" spans="1:7" ht="24" x14ac:dyDescent="0.2">
      <c r="A40" s="150" t="s">
        <v>206</v>
      </c>
      <c r="B40" s="10" t="s">
        <v>231</v>
      </c>
      <c r="C40" s="13" t="s">
        <v>232</v>
      </c>
      <c r="D40" s="15">
        <f>'Memória de cálculo'!D18</f>
        <v>131.6</v>
      </c>
      <c r="E40" s="16" t="s">
        <v>11</v>
      </c>
      <c r="F40" s="45">
        <v>75.88</v>
      </c>
      <c r="G40" s="143">
        <f>D40*F40*(1+E6)</f>
        <v>12717.925068799999</v>
      </c>
    </row>
    <row r="41" spans="1:7" ht="24" x14ac:dyDescent="0.2">
      <c r="A41" s="150" t="s">
        <v>358</v>
      </c>
      <c r="B41" s="10" t="s">
        <v>97</v>
      </c>
      <c r="C41" s="13" t="s">
        <v>98</v>
      </c>
      <c r="D41" s="15">
        <f>'Memória de cálculo'!D19</f>
        <v>22.48</v>
      </c>
      <c r="E41" s="16" t="s">
        <v>13</v>
      </c>
      <c r="F41" s="45">
        <v>758.95</v>
      </c>
      <c r="G41" s="143">
        <f>D41*F41*(1+E6)</f>
        <v>21729.1392256</v>
      </c>
    </row>
    <row r="42" spans="1:7" x14ac:dyDescent="0.2">
      <c r="A42" s="150" t="s">
        <v>359</v>
      </c>
      <c r="B42" s="10" t="s">
        <v>107</v>
      </c>
      <c r="C42" s="13" t="s">
        <v>108</v>
      </c>
      <c r="D42" s="15">
        <f>'Memória de cálculo'!D20</f>
        <v>736.30000000000007</v>
      </c>
      <c r="E42" s="16" t="s">
        <v>37</v>
      </c>
      <c r="F42" s="45">
        <v>14.1</v>
      </c>
      <c r="G42" s="143">
        <f>D42*F42*(1+E6)</f>
        <v>13222.298688000001</v>
      </c>
    </row>
    <row r="43" spans="1:7" x14ac:dyDescent="0.2">
      <c r="A43" s="182"/>
      <c r="B43" s="183"/>
      <c r="C43" s="183"/>
      <c r="D43" s="183"/>
      <c r="E43" s="183"/>
      <c r="F43" s="183"/>
      <c r="G43" s="184"/>
    </row>
    <row r="44" spans="1:7" ht="15.75" x14ac:dyDescent="0.25">
      <c r="A44" s="151">
        <v>7</v>
      </c>
      <c r="B44" s="7"/>
      <c r="C44" s="4" t="s">
        <v>93</v>
      </c>
      <c r="D44" s="5"/>
      <c r="E44" s="6"/>
      <c r="F44" s="107"/>
      <c r="G44" s="144">
        <f>G46+G45</f>
        <v>30807.348272320003</v>
      </c>
    </row>
    <row r="45" spans="1:7" ht="60" x14ac:dyDescent="0.2">
      <c r="A45" s="150" t="s">
        <v>207</v>
      </c>
      <c r="B45" s="130" t="s">
        <v>354</v>
      </c>
      <c r="C45" s="13" t="s">
        <v>355</v>
      </c>
      <c r="D45" s="56">
        <f>'Memória Auxiliar'!W17</f>
        <v>164.88249999999999</v>
      </c>
      <c r="E45" s="50" t="s">
        <v>11</v>
      </c>
      <c r="F45" s="45">
        <v>133.36000000000001</v>
      </c>
      <c r="G45" s="143">
        <f>D45*F45*(1+E5)</f>
        <v>21988.730200000002</v>
      </c>
    </row>
    <row r="46" spans="1:7" ht="36" x14ac:dyDescent="0.2">
      <c r="A46" s="150" t="s">
        <v>208</v>
      </c>
      <c r="B46" s="130" t="s">
        <v>233</v>
      </c>
      <c r="C46" s="13" t="s">
        <v>234</v>
      </c>
      <c r="D46" s="56">
        <f>('Memória de cálculo'!D22)*2</f>
        <v>354.54</v>
      </c>
      <c r="E46" s="50" t="s">
        <v>109</v>
      </c>
      <c r="F46" s="45">
        <v>19.53</v>
      </c>
      <c r="G46" s="143">
        <f>D46*F46*(1+E6)</f>
        <v>8818.6180723200014</v>
      </c>
    </row>
    <row r="47" spans="1:7" x14ac:dyDescent="0.2">
      <c r="A47" s="182"/>
      <c r="B47" s="183"/>
      <c r="C47" s="183"/>
      <c r="D47" s="183"/>
      <c r="E47" s="183"/>
      <c r="F47" s="183"/>
      <c r="G47" s="184"/>
    </row>
    <row r="48" spans="1:7" ht="15.75" x14ac:dyDescent="0.25">
      <c r="A48" s="148">
        <v>8</v>
      </c>
      <c r="B48" s="7"/>
      <c r="C48" s="4" t="s">
        <v>51</v>
      </c>
      <c r="D48" s="5"/>
      <c r="E48" s="6"/>
      <c r="F48" s="107"/>
      <c r="G48" s="144">
        <f>G49+G50</f>
        <v>62013.605203200008</v>
      </c>
    </row>
    <row r="49" spans="1:9" ht="24" x14ac:dyDescent="0.2">
      <c r="A49" s="150" t="s">
        <v>209</v>
      </c>
      <c r="B49" s="10" t="s">
        <v>333</v>
      </c>
      <c r="C49" s="13" t="s">
        <v>334</v>
      </c>
      <c r="D49" s="56">
        <f>'Memória de cálculo'!D24</f>
        <v>202.3</v>
      </c>
      <c r="E49" s="50" t="s">
        <v>11</v>
      </c>
      <c r="F49" s="45">
        <v>104.29</v>
      </c>
      <c r="G49" s="143">
        <f>D49*F49*(1+E6)</f>
        <v>26870.243411200005</v>
      </c>
    </row>
    <row r="50" spans="1:9" ht="24" x14ac:dyDescent="0.2">
      <c r="A50" s="150" t="s">
        <v>210</v>
      </c>
      <c r="B50" s="10" t="s">
        <v>289</v>
      </c>
      <c r="C50" s="13" t="s">
        <v>335</v>
      </c>
      <c r="D50" s="56">
        <f>D49</f>
        <v>202.3</v>
      </c>
      <c r="E50" s="50" t="s">
        <v>11</v>
      </c>
      <c r="F50" s="45">
        <v>136.4</v>
      </c>
      <c r="G50" s="143">
        <f>D50*F50*(1+E6)</f>
        <v>35143.361792000003</v>
      </c>
    </row>
    <row r="51" spans="1:9" x14ac:dyDescent="0.2">
      <c r="A51" s="182"/>
      <c r="B51" s="183"/>
      <c r="C51" s="183"/>
      <c r="D51" s="183"/>
      <c r="E51" s="183"/>
      <c r="F51" s="183"/>
      <c r="G51" s="184"/>
    </row>
    <row r="52" spans="1:9" ht="15.75" x14ac:dyDescent="0.25">
      <c r="A52" s="148">
        <v>9</v>
      </c>
      <c r="B52" s="7"/>
      <c r="C52" s="4" t="s">
        <v>75</v>
      </c>
      <c r="D52" s="5"/>
      <c r="E52" s="6"/>
      <c r="F52" s="107"/>
      <c r="G52" s="144">
        <f>G53+G55+G54</f>
        <v>8438.2164224000007</v>
      </c>
    </row>
    <row r="53" spans="1:9" ht="24" x14ac:dyDescent="0.2">
      <c r="A53" s="150" t="s">
        <v>211</v>
      </c>
      <c r="B53" s="10" t="s">
        <v>266</v>
      </c>
      <c r="C53" s="13" t="s">
        <v>267</v>
      </c>
      <c r="D53" s="56">
        <f>'Memória de cálculo'!D27</f>
        <v>63.850000000000009</v>
      </c>
      <c r="E53" s="50" t="s">
        <v>12</v>
      </c>
      <c r="F53" s="45">
        <v>57.54</v>
      </c>
      <c r="G53" s="143">
        <f>D53*F53*(1+E6)</f>
        <v>4679.1159744000006</v>
      </c>
    </row>
    <row r="54" spans="1:9" ht="36" x14ac:dyDescent="0.2">
      <c r="A54" s="150" t="s">
        <v>212</v>
      </c>
      <c r="B54" s="10" t="s">
        <v>268</v>
      </c>
      <c r="C54" s="13" t="s">
        <v>269</v>
      </c>
      <c r="D54" s="56">
        <f>'Memória de cálculo'!D28</f>
        <v>38.300000000000004</v>
      </c>
      <c r="E54" s="50" t="s">
        <v>12</v>
      </c>
      <c r="F54" s="45">
        <v>22.9</v>
      </c>
      <c r="G54" s="143">
        <f>D54*F54*(1+E6)</f>
        <v>1117.0363520000001</v>
      </c>
    </row>
    <row r="55" spans="1:9" ht="36" x14ac:dyDescent="0.2">
      <c r="A55" s="150" t="s">
        <v>213</v>
      </c>
      <c r="B55" s="10" t="s">
        <v>110</v>
      </c>
      <c r="C55" s="13" t="s">
        <v>111</v>
      </c>
      <c r="D55" s="56">
        <f>'Memória de cálculo'!D29</f>
        <v>34.5</v>
      </c>
      <c r="E55" s="50" t="s">
        <v>12</v>
      </c>
      <c r="F55" s="45">
        <v>60.13</v>
      </c>
      <c r="G55" s="143">
        <f>D55*F55*(1+E6)</f>
        <v>2642.0640960000005</v>
      </c>
    </row>
    <row r="56" spans="1:9" x14ac:dyDescent="0.2">
      <c r="A56" s="182"/>
      <c r="B56" s="183"/>
      <c r="C56" s="183"/>
      <c r="D56" s="183"/>
      <c r="E56" s="183"/>
      <c r="F56" s="183"/>
      <c r="G56" s="184"/>
    </row>
    <row r="57" spans="1:9" ht="15.75" x14ac:dyDescent="0.25">
      <c r="A57" s="148">
        <v>10</v>
      </c>
      <c r="B57" s="7"/>
      <c r="C57" s="4" t="s">
        <v>17</v>
      </c>
      <c r="D57" s="5"/>
      <c r="E57" s="6"/>
      <c r="F57" s="107"/>
      <c r="G57" s="144">
        <f>G58+G59+G60+G61</f>
        <v>40596.606997760005</v>
      </c>
    </row>
    <row r="58" spans="1:9" ht="36" x14ac:dyDescent="0.2">
      <c r="A58" s="150" t="s">
        <v>214</v>
      </c>
      <c r="B58" s="10" t="s">
        <v>112</v>
      </c>
      <c r="C58" s="13" t="s">
        <v>119</v>
      </c>
      <c r="D58" s="56">
        <f>'Memória de cálculo'!D31</f>
        <v>88.399999999999991</v>
      </c>
      <c r="E58" s="50" t="s">
        <v>11</v>
      </c>
      <c r="F58" s="45">
        <v>56.89</v>
      </c>
      <c r="G58" s="143">
        <f>D58*F58*(1+E6)</f>
        <v>6405.0311935999989</v>
      </c>
    </row>
    <row r="59" spans="1:9" ht="36" x14ac:dyDescent="0.2">
      <c r="A59" s="150" t="s">
        <v>360</v>
      </c>
      <c r="B59" s="10" t="s">
        <v>113</v>
      </c>
      <c r="C59" s="13" t="s">
        <v>114</v>
      </c>
      <c r="D59" s="56">
        <f>'Memória de cálculo'!D32</f>
        <v>172.44</v>
      </c>
      <c r="E59" s="50" t="s">
        <v>11</v>
      </c>
      <c r="F59" s="45">
        <v>44.28</v>
      </c>
      <c r="G59" s="143">
        <f>D59*F59*(1+E6)</f>
        <v>9724.7551795200015</v>
      </c>
    </row>
    <row r="60" spans="1:9" ht="60" x14ac:dyDescent="0.2">
      <c r="A60" s="150" t="s">
        <v>361</v>
      </c>
      <c r="B60" s="10" t="s">
        <v>115</v>
      </c>
      <c r="C60" s="13" t="s">
        <v>116</v>
      </c>
      <c r="D60" s="56">
        <f>D59</f>
        <v>172.44</v>
      </c>
      <c r="E60" s="50" t="s">
        <v>11</v>
      </c>
      <c r="F60" s="45">
        <v>108.14</v>
      </c>
      <c r="G60" s="143">
        <f>D60*F60*(1+E6)</f>
        <v>23749.661813760002</v>
      </c>
    </row>
    <row r="61" spans="1:9" ht="36" x14ac:dyDescent="0.2">
      <c r="A61" s="150" t="s">
        <v>362</v>
      </c>
      <c r="B61" s="10" t="s">
        <v>117</v>
      </c>
      <c r="C61" s="13" t="s">
        <v>118</v>
      </c>
      <c r="D61" s="56">
        <f>'Memória de cálculo'!D35</f>
        <v>1.62</v>
      </c>
      <c r="E61" s="50" t="s">
        <v>11</v>
      </c>
      <c r="F61" s="45">
        <v>347.59</v>
      </c>
      <c r="G61" s="143">
        <f>D61*F61*(1+E6)</f>
        <v>717.15881087999992</v>
      </c>
    </row>
    <row r="62" spans="1:9" x14ac:dyDescent="0.2">
      <c r="A62" s="182"/>
      <c r="B62" s="183"/>
      <c r="C62" s="183"/>
      <c r="D62" s="183"/>
      <c r="E62" s="183"/>
      <c r="F62" s="183"/>
      <c r="G62" s="184"/>
    </row>
    <row r="63" spans="1:9" ht="15.75" x14ac:dyDescent="0.25">
      <c r="A63" s="148">
        <v>11</v>
      </c>
      <c r="B63" s="7"/>
      <c r="C63" s="4" t="s">
        <v>15</v>
      </c>
      <c r="D63" s="5"/>
      <c r="E63" s="6"/>
      <c r="F63" s="107"/>
      <c r="G63" s="144">
        <f>G64</f>
        <v>35276.040345599999</v>
      </c>
    </row>
    <row r="64" spans="1:9" ht="24" x14ac:dyDescent="0.2">
      <c r="A64" s="149" t="s">
        <v>215</v>
      </c>
      <c r="B64" s="10" t="s">
        <v>120</v>
      </c>
      <c r="C64" s="13" t="s">
        <v>121</v>
      </c>
      <c r="D64" s="56">
        <f>'Memória de cálculo'!D37</f>
        <v>436.04999999999995</v>
      </c>
      <c r="E64" s="47" t="s">
        <v>11</v>
      </c>
      <c r="F64" s="45">
        <v>63.52</v>
      </c>
      <c r="G64" s="143">
        <f>D64*F64*(1+E6)</f>
        <v>35276.040345599999</v>
      </c>
      <c r="I64" s="18"/>
    </row>
    <row r="65" spans="1:11" x14ac:dyDescent="0.2">
      <c r="A65" s="182"/>
      <c r="B65" s="183"/>
      <c r="C65" s="183"/>
      <c r="D65" s="183"/>
      <c r="E65" s="183"/>
      <c r="F65" s="183"/>
      <c r="G65" s="184"/>
      <c r="I65" s="18"/>
    </row>
    <row r="66" spans="1:11" ht="15.75" x14ac:dyDescent="0.25">
      <c r="A66" s="148">
        <v>12</v>
      </c>
      <c r="B66" s="7"/>
      <c r="C66" s="4" t="s">
        <v>40</v>
      </c>
      <c r="D66" s="5"/>
      <c r="E66" s="6"/>
      <c r="F66" s="112"/>
      <c r="G66" s="152">
        <f>G67</f>
        <v>27276.384937408005</v>
      </c>
      <c r="I66" s="18"/>
      <c r="J66" s="14"/>
      <c r="K66" s="14"/>
    </row>
    <row r="67" spans="1:11" ht="48" x14ac:dyDescent="0.2">
      <c r="A67" s="150" t="s">
        <v>216</v>
      </c>
      <c r="B67" s="130" t="s">
        <v>122</v>
      </c>
      <c r="C67" s="13" t="s">
        <v>123</v>
      </c>
      <c r="D67" s="56">
        <f>'Memória de cálculo'!D39</f>
        <v>6.8305000000000007</v>
      </c>
      <c r="E67" s="50" t="s">
        <v>13</v>
      </c>
      <c r="F67" s="45">
        <v>3135.46</v>
      </c>
      <c r="G67" s="143">
        <f>D67*F67*(1+E6)</f>
        <v>27276.384937408005</v>
      </c>
    </row>
    <row r="68" spans="1:11" x14ac:dyDescent="0.2">
      <c r="A68" s="182"/>
      <c r="B68" s="183"/>
      <c r="C68" s="183"/>
      <c r="D68" s="183"/>
      <c r="E68" s="183"/>
      <c r="F68" s="183"/>
      <c r="G68" s="184"/>
    </row>
    <row r="69" spans="1:11" ht="15.75" x14ac:dyDescent="0.25">
      <c r="A69" s="148">
        <v>13</v>
      </c>
      <c r="B69" s="7"/>
      <c r="C69" s="4" t="s">
        <v>72</v>
      </c>
      <c r="D69" s="5"/>
      <c r="E69" s="6"/>
      <c r="F69" s="107"/>
      <c r="G69" s="144">
        <f>G71+G70</f>
        <v>25194.202368000002</v>
      </c>
    </row>
    <row r="70" spans="1:11" ht="48" x14ac:dyDescent="0.2">
      <c r="A70" s="150" t="s">
        <v>217</v>
      </c>
      <c r="B70" s="130" t="s">
        <v>125</v>
      </c>
      <c r="C70" s="13" t="s">
        <v>124</v>
      </c>
      <c r="D70" s="56">
        <f>'Memória de cálculo'!D43</f>
        <v>12</v>
      </c>
      <c r="E70" s="50" t="s">
        <v>22</v>
      </c>
      <c r="F70" s="45">
        <v>1061.3900000000001</v>
      </c>
      <c r="G70" s="143">
        <f>D70*F70*(1+E6)</f>
        <v>16221.435648000001</v>
      </c>
    </row>
    <row r="71" spans="1:11" ht="24" x14ac:dyDescent="0.2">
      <c r="A71" s="150" t="s">
        <v>220</v>
      </c>
      <c r="B71" s="10" t="s">
        <v>126</v>
      </c>
      <c r="C71" s="13" t="s">
        <v>127</v>
      </c>
      <c r="D71" s="56">
        <f>'Memória de cálculo'!D45</f>
        <v>15.000000000000002</v>
      </c>
      <c r="E71" s="50" t="s">
        <v>11</v>
      </c>
      <c r="F71" s="45">
        <v>469.68</v>
      </c>
      <c r="G71" s="143">
        <f>D71*F71*(1+E6)</f>
        <v>8972.7667200000014</v>
      </c>
    </row>
    <row r="72" spans="1:11" x14ac:dyDescent="0.2">
      <c r="A72" s="182"/>
      <c r="B72" s="183"/>
      <c r="C72" s="183"/>
      <c r="D72" s="183"/>
      <c r="E72" s="183"/>
      <c r="F72" s="183"/>
      <c r="G72" s="184"/>
    </row>
    <row r="73" spans="1:11" ht="15.75" x14ac:dyDescent="0.25">
      <c r="A73" s="148">
        <v>14</v>
      </c>
      <c r="B73" s="7"/>
      <c r="C73" s="4" t="s">
        <v>16</v>
      </c>
      <c r="D73" s="5"/>
      <c r="E73" s="6"/>
      <c r="F73" s="107"/>
      <c r="G73" s="144">
        <f>G74+G75+G76+G77</f>
        <v>87053.662648800004</v>
      </c>
    </row>
    <row r="74" spans="1:11" ht="48" x14ac:dyDescent="0.2">
      <c r="A74" s="149" t="s">
        <v>221</v>
      </c>
      <c r="B74" s="10" t="s">
        <v>128</v>
      </c>
      <c r="C74" s="13" t="s">
        <v>129</v>
      </c>
      <c r="D74" s="56">
        <f>'Memória de cálculo'!D47+33.75+33.75+17.28</f>
        <v>1158.0874999999999</v>
      </c>
      <c r="E74" s="48" t="s">
        <v>11</v>
      </c>
      <c r="F74" s="45">
        <v>9.58</v>
      </c>
      <c r="G74" s="143">
        <f>D74*F74*(1+E6)</f>
        <v>14129.927499199999</v>
      </c>
    </row>
    <row r="75" spans="1:11" ht="36" x14ac:dyDescent="0.2">
      <c r="A75" s="149" t="s">
        <v>222</v>
      </c>
      <c r="B75" s="10" t="s">
        <v>130</v>
      </c>
      <c r="C75" s="13" t="s">
        <v>131</v>
      </c>
      <c r="D75" s="56">
        <f>'Memória de cálculo'!D48+33.75</f>
        <v>230.45000000000005</v>
      </c>
      <c r="E75" s="48" t="s">
        <v>11</v>
      </c>
      <c r="F75" s="45">
        <v>34.71</v>
      </c>
      <c r="G75" s="143">
        <f>D75*F75*(1+E6)</f>
        <v>10187.423875200002</v>
      </c>
    </row>
    <row r="76" spans="1:11" ht="36" x14ac:dyDescent="0.2">
      <c r="A76" s="149" t="s">
        <v>223</v>
      </c>
      <c r="B76" s="10" t="s">
        <v>132</v>
      </c>
      <c r="C76" s="13" t="s">
        <v>133</v>
      </c>
      <c r="D76" s="56">
        <f>'Memória de cálculo'!D49+33.75+14.28</f>
        <v>924.63749999999982</v>
      </c>
      <c r="E76" s="48" t="s">
        <v>11</v>
      </c>
      <c r="F76" s="45">
        <v>32.61</v>
      </c>
      <c r="G76" s="143">
        <f>D76*F76*(1+E6)</f>
        <v>38402.133415199998</v>
      </c>
    </row>
    <row r="77" spans="1:11" ht="24" x14ac:dyDescent="0.2">
      <c r="A77" s="149" t="s">
        <v>224</v>
      </c>
      <c r="B77" s="10" t="s">
        <v>43</v>
      </c>
      <c r="C77" s="13" t="s">
        <v>44</v>
      </c>
      <c r="D77" s="56">
        <f>'Memória de cálculo'!D50+33.75</f>
        <v>230.45000000000005</v>
      </c>
      <c r="E77" s="48" t="s">
        <v>11</v>
      </c>
      <c r="F77" s="45">
        <v>82.91</v>
      </c>
      <c r="G77" s="143">
        <f>D77*F77*(1+E6)</f>
        <v>24334.177859200005</v>
      </c>
    </row>
    <row r="78" spans="1:11" x14ac:dyDescent="0.2">
      <c r="A78" s="182"/>
      <c r="B78" s="183"/>
      <c r="C78" s="183"/>
      <c r="D78" s="183"/>
      <c r="E78" s="183"/>
      <c r="F78" s="183"/>
      <c r="G78" s="184"/>
    </row>
    <row r="79" spans="1:11" ht="15.75" x14ac:dyDescent="0.25">
      <c r="A79" s="148">
        <v>15</v>
      </c>
      <c r="B79" s="7"/>
      <c r="C79" s="4" t="s">
        <v>18</v>
      </c>
      <c r="D79" s="5"/>
      <c r="E79" s="6"/>
      <c r="F79" s="107"/>
      <c r="G79" s="144">
        <f>G80+G81+G82+G83</f>
        <v>27374.015677239993</v>
      </c>
    </row>
    <row r="80" spans="1:11" ht="24" x14ac:dyDescent="0.2">
      <c r="A80" s="149" t="s">
        <v>225</v>
      </c>
      <c r="B80" s="10" t="s">
        <v>136</v>
      </c>
      <c r="C80" s="13" t="s">
        <v>137</v>
      </c>
      <c r="D80" s="56">
        <f>'Memória de cálculo'!D52+33.75</f>
        <v>910.35749999999985</v>
      </c>
      <c r="E80" s="48" t="str">
        <f>E81</f>
        <v>m²</v>
      </c>
      <c r="F80" s="45">
        <v>7.17</v>
      </c>
      <c r="G80" s="143">
        <f>D80*F80*(1+E5)</f>
        <v>6527.2632749999984</v>
      </c>
    </row>
    <row r="81" spans="1:7" ht="24" x14ac:dyDescent="0.2">
      <c r="A81" s="149" t="s">
        <v>226</v>
      </c>
      <c r="B81" s="10" t="s">
        <v>134</v>
      </c>
      <c r="C81" s="13" t="s">
        <v>135</v>
      </c>
      <c r="D81" s="56">
        <f>'Memória de cálculo'!D52+33.75</f>
        <v>910.35749999999985</v>
      </c>
      <c r="E81" s="48" t="s">
        <v>11</v>
      </c>
      <c r="F81" s="45">
        <v>15.86</v>
      </c>
      <c r="G81" s="143">
        <f>D81*F81*(1+E6)</f>
        <v>18388.580608319997</v>
      </c>
    </row>
    <row r="82" spans="1:7" ht="36" x14ac:dyDescent="0.2">
      <c r="A82" s="149" t="s">
        <v>227</v>
      </c>
      <c r="B82" s="10" t="s">
        <v>138</v>
      </c>
      <c r="C82" s="13" t="s">
        <v>139</v>
      </c>
      <c r="D82" s="56">
        <f>'Memória de cálculo'!D53</f>
        <v>15.000000000000002</v>
      </c>
      <c r="E82" s="48" t="s">
        <v>11</v>
      </c>
      <c r="F82" s="45">
        <v>31.18</v>
      </c>
      <c r="G82" s="143">
        <f>D82*F82*(1+E6)</f>
        <v>595.66272000000004</v>
      </c>
    </row>
    <row r="83" spans="1:7" ht="48" x14ac:dyDescent="0.2">
      <c r="A83" s="149" t="s">
        <v>228</v>
      </c>
      <c r="B83" s="10" t="s">
        <v>140</v>
      </c>
      <c r="C83" s="13" t="s">
        <v>141</v>
      </c>
      <c r="D83" s="56">
        <f>'Memória de cálculo'!D54+3.2</f>
        <v>62.710000000000008</v>
      </c>
      <c r="E83" s="48" t="s">
        <v>11</v>
      </c>
      <c r="F83" s="45">
        <v>23.32</v>
      </c>
      <c r="G83" s="143">
        <f>D83*F83*(1+E6)</f>
        <v>1862.5090739200002</v>
      </c>
    </row>
    <row r="84" spans="1:7" x14ac:dyDescent="0.2">
      <c r="A84" s="182"/>
      <c r="B84" s="183"/>
      <c r="C84" s="183"/>
      <c r="D84" s="183"/>
      <c r="E84" s="183"/>
      <c r="F84" s="183"/>
      <c r="G84" s="184"/>
    </row>
    <row r="85" spans="1:7" ht="15.75" x14ac:dyDescent="0.25">
      <c r="A85" s="148">
        <v>16</v>
      </c>
      <c r="B85" s="7"/>
      <c r="C85" s="4" t="s">
        <v>54</v>
      </c>
      <c r="D85" s="5"/>
      <c r="E85" s="6"/>
      <c r="F85" s="107"/>
      <c r="G85" s="144">
        <f>G86+G87+G89+G90+G91+G93+G94+G96+G97+G98+G99+G92+G88+G95</f>
        <v>27963.416320000004</v>
      </c>
    </row>
    <row r="86" spans="1:7" ht="72" x14ac:dyDescent="0.2">
      <c r="A86" s="150" t="s">
        <v>218</v>
      </c>
      <c r="B86" s="17" t="s">
        <v>142</v>
      </c>
      <c r="C86" s="13" t="s">
        <v>143</v>
      </c>
      <c r="D86" s="56">
        <f>'Memória de cálculo'!D56+2</f>
        <v>12</v>
      </c>
      <c r="E86" s="51" t="s">
        <v>58</v>
      </c>
      <c r="F86" s="45">
        <v>166.55</v>
      </c>
      <c r="G86" s="143">
        <f>D86*F86*(1+E6)</f>
        <v>2545.4169600000005</v>
      </c>
    </row>
    <row r="87" spans="1:7" ht="60" x14ac:dyDescent="0.2">
      <c r="A87" s="150" t="s">
        <v>229</v>
      </c>
      <c r="B87" s="17" t="s">
        <v>144</v>
      </c>
      <c r="C87" s="13" t="s">
        <v>145</v>
      </c>
      <c r="D87" s="56">
        <f>'Memória de cálculo'!D57</f>
        <v>9</v>
      </c>
      <c r="E87" s="51" t="s">
        <v>58</v>
      </c>
      <c r="F87" s="45">
        <v>305.89999999999998</v>
      </c>
      <c r="G87" s="143">
        <f>D87*F87*(1+E6)</f>
        <v>3506.34816</v>
      </c>
    </row>
    <row r="88" spans="1:7" x14ac:dyDescent="0.2">
      <c r="A88" s="150" t="s">
        <v>379</v>
      </c>
      <c r="B88" s="17" t="s">
        <v>377</v>
      </c>
      <c r="C88" s="13" t="s">
        <v>378</v>
      </c>
      <c r="D88" s="56">
        <v>6</v>
      </c>
      <c r="E88" s="51" t="s">
        <v>22</v>
      </c>
      <c r="F88" s="45">
        <v>88.43</v>
      </c>
      <c r="G88" s="143">
        <f>D88*F88*(1+E6)</f>
        <v>675.74668800000006</v>
      </c>
    </row>
    <row r="89" spans="1:7" ht="60" x14ac:dyDescent="0.2">
      <c r="A89" s="150" t="s">
        <v>380</v>
      </c>
      <c r="B89" s="17" t="s">
        <v>146</v>
      </c>
      <c r="C89" s="13" t="s">
        <v>147</v>
      </c>
      <c r="D89" s="56">
        <f>'Memória de cálculo'!D58+2</f>
        <v>20</v>
      </c>
      <c r="E89" s="51" t="s">
        <v>58</v>
      </c>
      <c r="F89" s="45">
        <v>137.80000000000001</v>
      </c>
      <c r="G89" s="143">
        <f>D89*F89*(1+E6)</f>
        <v>3510.0416</v>
      </c>
    </row>
    <row r="90" spans="1:7" ht="48" x14ac:dyDescent="0.2">
      <c r="A90" s="150" t="s">
        <v>381</v>
      </c>
      <c r="B90" s="10" t="s">
        <v>148</v>
      </c>
      <c r="C90" s="13" t="s">
        <v>149</v>
      </c>
      <c r="D90" s="52">
        <v>2</v>
      </c>
      <c r="E90" s="51" t="s">
        <v>22</v>
      </c>
      <c r="F90" s="45">
        <v>891.69</v>
      </c>
      <c r="G90" s="143">
        <f>D90*F90*(1+E6)</f>
        <v>2271.3127680000002</v>
      </c>
    </row>
    <row r="91" spans="1:7" ht="36" x14ac:dyDescent="0.2">
      <c r="A91" s="150" t="s">
        <v>382</v>
      </c>
      <c r="B91" s="10" t="s">
        <v>150</v>
      </c>
      <c r="C91" s="13" t="s">
        <v>151</v>
      </c>
      <c r="D91" s="53">
        <f>'Memória de cálculo'!D60</f>
        <v>5</v>
      </c>
      <c r="E91" s="51" t="s">
        <v>22</v>
      </c>
      <c r="F91" s="45">
        <v>221.34</v>
      </c>
      <c r="G91" s="143">
        <f>D91*F91*(1+E6)</f>
        <v>1409.4931200000001</v>
      </c>
    </row>
    <row r="92" spans="1:7" x14ac:dyDescent="0.2">
      <c r="A92" s="150" t="s">
        <v>383</v>
      </c>
      <c r="B92" s="10" t="s">
        <v>371</v>
      </c>
      <c r="C92" s="13" t="s">
        <v>372</v>
      </c>
      <c r="D92" s="53">
        <v>1</v>
      </c>
      <c r="E92" s="51" t="s">
        <v>22</v>
      </c>
      <c r="F92" s="45">
        <v>234.06</v>
      </c>
      <c r="G92" s="143">
        <f>D92*F92*(1+E6)</f>
        <v>298.098816</v>
      </c>
    </row>
    <row r="93" spans="1:7" ht="24" x14ac:dyDescent="0.2">
      <c r="A93" s="150" t="s">
        <v>384</v>
      </c>
      <c r="B93" s="10" t="s">
        <v>152</v>
      </c>
      <c r="C93" s="13" t="s">
        <v>153</v>
      </c>
      <c r="D93" s="53">
        <f>'Memória de cálculo'!D62</f>
        <v>4</v>
      </c>
      <c r="E93" s="51" t="s">
        <v>22</v>
      </c>
      <c r="F93" s="45">
        <v>119.85</v>
      </c>
      <c r="G93" s="143">
        <f>D93*F93*(1+E6)</f>
        <v>610.56384000000003</v>
      </c>
    </row>
    <row r="94" spans="1:7" ht="36" x14ac:dyDescent="0.2">
      <c r="A94" s="150" t="s">
        <v>385</v>
      </c>
      <c r="B94" s="10" t="s">
        <v>154</v>
      </c>
      <c r="C94" s="13" t="s">
        <v>155</v>
      </c>
      <c r="D94" s="53">
        <f>'Memória de cálculo'!D63</f>
        <v>5</v>
      </c>
      <c r="E94" s="51" t="s">
        <v>22</v>
      </c>
      <c r="F94" s="45">
        <v>451.54</v>
      </c>
      <c r="G94" s="143">
        <f>D94*F94*(1+E6)</f>
        <v>2875.4067200000004</v>
      </c>
    </row>
    <row r="95" spans="1:7" ht="48" x14ac:dyDescent="0.2">
      <c r="A95" s="150" t="s">
        <v>386</v>
      </c>
      <c r="B95" s="10" t="s">
        <v>373</v>
      </c>
      <c r="C95" s="13" t="s">
        <v>374</v>
      </c>
      <c r="D95" s="53">
        <v>1</v>
      </c>
      <c r="E95" s="51" t="s">
        <v>22</v>
      </c>
      <c r="F95" s="178">
        <v>1790.47</v>
      </c>
      <c r="G95" s="143">
        <f>D95*F95*(1+E6)</f>
        <v>2280.342592</v>
      </c>
    </row>
    <row r="96" spans="1:7" ht="36" x14ac:dyDescent="0.2">
      <c r="A96" s="150" t="s">
        <v>387</v>
      </c>
      <c r="B96" s="10" t="s">
        <v>156</v>
      </c>
      <c r="C96" s="13" t="s">
        <v>157</v>
      </c>
      <c r="D96" s="53">
        <f>'Memória de cálculo'!D65</f>
        <v>9</v>
      </c>
      <c r="E96" s="51" t="s">
        <v>22</v>
      </c>
      <c r="F96" s="45">
        <v>567.82000000000005</v>
      </c>
      <c r="G96" s="143">
        <f>D96*F96*(1+E6)</f>
        <v>6508.5799680000009</v>
      </c>
    </row>
    <row r="97" spans="1:7" ht="24" x14ac:dyDescent="0.2">
      <c r="A97" s="150" t="s">
        <v>388</v>
      </c>
      <c r="B97" s="10" t="s">
        <v>158</v>
      </c>
      <c r="C97" s="13" t="s">
        <v>159</v>
      </c>
      <c r="D97" s="53">
        <f>'Memória de cálculo'!D65</f>
        <v>9</v>
      </c>
      <c r="E97" s="51" t="s">
        <v>22</v>
      </c>
      <c r="F97" s="45">
        <v>39.03</v>
      </c>
      <c r="G97" s="143">
        <f>D97*F97*(1+E6)</f>
        <v>447.37747200000001</v>
      </c>
    </row>
    <row r="98" spans="1:7" ht="24" x14ac:dyDescent="0.2">
      <c r="A98" s="150" t="s">
        <v>389</v>
      </c>
      <c r="B98" s="10" t="s">
        <v>162</v>
      </c>
      <c r="C98" s="13" t="s">
        <v>163</v>
      </c>
      <c r="D98" s="53">
        <f>'Memória de cálculo'!D70</f>
        <v>5</v>
      </c>
      <c r="E98" s="51" t="s">
        <v>22</v>
      </c>
      <c r="F98" s="45">
        <v>70.75</v>
      </c>
      <c r="G98" s="143">
        <f>D98*F98*(1+E6)</f>
        <v>450.536</v>
      </c>
    </row>
    <row r="99" spans="1:7" ht="24" x14ac:dyDescent="0.2">
      <c r="A99" s="150" t="s">
        <v>390</v>
      </c>
      <c r="B99" s="10" t="s">
        <v>160</v>
      </c>
      <c r="C99" s="13" t="s">
        <v>161</v>
      </c>
      <c r="D99" s="53">
        <f>'Memória de cálculo'!D71</f>
        <v>9</v>
      </c>
      <c r="E99" s="51" t="s">
        <v>22</v>
      </c>
      <c r="F99" s="45">
        <v>50.09</v>
      </c>
      <c r="G99" s="143">
        <f>D99*F99*(1+E6)</f>
        <v>574.1516160000001</v>
      </c>
    </row>
    <row r="100" spans="1:7" x14ac:dyDescent="0.2">
      <c r="A100" s="182"/>
      <c r="B100" s="183"/>
      <c r="C100" s="183"/>
      <c r="D100" s="183"/>
      <c r="E100" s="183"/>
      <c r="F100" s="183"/>
      <c r="G100" s="184"/>
    </row>
    <row r="101" spans="1:7" ht="15.75" x14ac:dyDescent="0.25">
      <c r="A101" s="148">
        <v>17</v>
      </c>
      <c r="B101" s="7"/>
      <c r="C101" s="4" t="s">
        <v>67</v>
      </c>
      <c r="D101" s="54"/>
      <c r="E101" s="55"/>
      <c r="F101" s="107"/>
      <c r="G101" s="144">
        <f>G102+G103</f>
        <v>12350.944870399999</v>
      </c>
    </row>
    <row r="102" spans="1:7" ht="24" x14ac:dyDescent="0.2">
      <c r="A102" s="150" t="s">
        <v>219</v>
      </c>
      <c r="B102" s="10" t="s">
        <v>164</v>
      </c>
      <c r="C102" s="13" t="s">
        <v>165</v>
      </c>
      <c r="D102" s="56">
        <f>'Memória de cálculo'!D73</f>
        <v>19.2</v>
      </c>
      <c r="E102" s="51" t="s">
        <v>11</v>
      </c>
      <c r="F102" s="45">
        <v>451.56</v>
      </c>
      <c r="G102" s="143">
        <f>D102*F102*(1+E6)</f>
        <v>11042.0508672</v>
      </c>
    </row>
    <row r="103" spans="1:7" ht="48" x14ac:dyDescent="0.2">
      <c r="A103" s="150" t="s">
        <v>391</v>
      </c>
      <c r="B103" s="10" t="s">
        <v>376</v>
      </c>
      <c r="C103" s="13" t="s">
        <v>375</v>
      </c>
      <c r="D103" s="56">
        <v>3.7</v>
      </c>
      <c r="E103" s="51" t="s">
        <v>11</v>
      </c>
      <c r="F103" s="45">
        <v>277.76</v>
      </c>
      <c r="G103" s="143">
        <f>D103*F103*(1+E6)</f>
        <v>1308.8940032</v>
      </c>
    </row>
    <row r="104" spans="1:7" x14ac:dyDescent="0.2">
      <c r="A104" s="182"/>
      <c r="B104" s="183"/>
      <c r="C104" s="183"/>
      <c r="D104" s="183"/>
      <c r="E104" s="183"/>
      <c r="F104" s="183"/>
      <c r="G104" s="184"/>
    </row>
    <row r="105" spans="1:7" ht="15.75" x14ac:dyDescent="0.25">
      <c r="A105" s="148">
        <v>18</v>
      </c>
      <c r="B105" s="7"/>
      <c r="C105" s="4" t="s">
        <v>70</v>
      </c>
      <c r="D105" s="5"/>
      <c r="E105" s="6"/>
      <c r="F105" s="107"/>
      <c r="G105" s="144">
        <f>G106</f>
        <v>3432.0336000000007</v>
      </c>
    </row>
    <row r="106" spans="1:7" ht="36" x14ac:dyDescent="0.2">
      <c r="A106" s="150" t="s">
        <v>230</v>
      </c>
      <c r="B106" s="10" t="s">
        <v>166</v>
      </c>
      <c r="C106" s="13" t="s">
        <v>167</v>
      </c>
      <c r="D106" s="56">
        <f>D71</f>
        <v>15.000000000000002</v>
      </c>
      <c r="E106" s="51" t="s">
        <v>22</v>
      </c>
      <c r="F106" s="45">
        <v>179.65</v>
      </c>
      <c r="G106" s="143">
        <f>D106*F106*(1+E6)</f>
        <v>3432.0336000000007</v>
      </c>
    </row>
    <row r="107" spans="1:7" x14ac:dyDescent="0.2">
      <c r="A107" s="182"/>
      <c r="B107" s="183"/>
      <c r="C107" s="183"/>
      <c r="D107" s="183"/>
      <c r="E107" s="183"/>
      <c r="F107" s="183"/>
      <c r="G107" s="184"/>
    </row>
    <row r="108" spans="1:7" ht="15.75" x14ac:dyDescent="0.25">
      <c r="A108" s="148">
        <v>19</v>
      </c>
      <c r="B108" s="7"/>
      <c r="C108" s="4" t="s">
        <v>91</v>
      </c>
      <c r="D108" s="5"/>
      <c r="E108" s="6"/>
      <c r="F108" s="107"/>
      <c r="G108" s="144">
        <f>G109+G110+G111+G112</f>
        <v>17900.1296</v>
      </c>
    </row>
    <row r="109" spans="1:7" ht="96" x14ac:dyDescent="0.2">
      <c r="A109" s="150" t="s">
        <v>363</v>
      </c>
      <c r="B109" s="17" t="s">
        <v>168</v>
      </c>
      <c r="C109" s="13" t="s">
        <v>169</v>
      </c>
      <c r="D109" s="56">
        <f>'Memória de cálculo'!D80+1</f>
        <v>16</v>
      </c>
      <c r="E109" s="51" t="s">
        <v>22</v>
      </c>
      <c r="F109" s="45">
        <v>236.04</v>
      </c>
      <c r="G109" s="143">
        <f>D109*F109*(1+E6)</f>
        <v>4809.9287039999999</v>
      </c>
    </row>
    <row r="110" spans="1:7" ht="96" x14ac:dyDescent="0.2">
      <c r="A110" s="150" t="s">
        <v>364</v>
      </c>
      <c r="B110" s="17" t="s">
        <v>170</v>
      </c>
      <c r="C110" s="13" t="s">
        <v>171</v>
      </c>
      <c r="D110" s="56">
        <f>'Memória de cálculo'!D81+1</f>
        <v>26</v>
      </c>
      <c r="E110" s="51" t="s">
        <v>22</v>
      </c>
      <c r="F110" s="45">
        <v>278.27999999999997</v>
      </c>
      <c r="G110" s="143">
        <f>D110*F110*(1+E6)</f>
        <v>9214.8526079999992</v>
      </c>
    </row>
    <row r="111" spans="1:7" ht="36" x14ac:dyDescent="0.2">
      <c r="A111" s="150" t="s">
        <v>365</v>
      </c>
      <c r="B111" s="10" t="s">
        <v>172</v>
      </c>
      <c r="C111" s="13" t="s">
        <v>173</v>
      </c>
      <c r="D111" s="56">
        <v>1</v>
      </c>
      <c r="E111" s="51" t="s">
        <v>22</v>
      </c>
      <c r="F111" s="45">
        <v>105.91</v>
      </c>
      <c r="G111" s="143">
        <f>D111*F111*(1+E6)</f>
        <v>134.886976</v>
      </c>
    </row>
    <row r="112" spans="1:7" ht="48" x14ac:dyDescent="0.2">
      <c r="A112" s="150" t="s">
        <v>392</v>
      </c>
      <c r="B112" s="10" t="s">
        <v>174</v>
      </c>
      <c r="C112" s="13" t="s">
        <v>175</v>
      </c>
      <c r="D112" s="56">
        <f>D109+1</f>
        <v>17</v>
      </c>
      <c r="E112" s="51" t="s">
        <v>22</v>
      </c>
      <c r="F112" s="45">
        <v>172.76</v>
      </c>
      <c r="G112" s="143">
        <f>D112*F112*(1+E6)</f>
        <v>3740.4613120000004</v>
      </c>
    </row>
    <row r="113" spans="1:7" ht="15.75" x14ac:dyDescent="0.25">
      <c r="A113" s="148">
        <v>20</v>
      </c>
      <c r="B113" s="7"/>
      <c r="C113" s="4" t="s">
        <v>291</v>
      </c>
      <c r="D113" s="5"/>
      <c r="E113" s="6"/>
      <c r="F113" s="107"/>
      <c r="G113" s="144">
        <f>G114+G115+G116</f>
        <v>97554.576000000001</v>
      </c>
    </row>
    <row r="114" spans="1:7" x14ac:dyDescent="0.2">
      <c r="A114" s="150" t="s">
        <v>393</v>
      </c>
      <c r="B114" s="10" t="s">
        <v>288</v>
      </c>
      <c r="C114" s="13" t="s">
        <v>290</v>
      </c>
      <c r="D114" s="49">
        <v>500</v>
      </c>
      <c r="E114" s="51" t="s">
        <v>285</v>
      </c>
      <c r="F114" s="45">
        <v>54.09</v>
      </c>
      <c r="G114" s="143">
        <f>D114*F114*(1+E6)</f>
        <v>34444.512000000002</v>
      </c>
    </row>
    <row r="115" spans="1:7" x14ac:dyDescent="0.2">
      <c r="A115" s="150" t="s">
        <v>394</v>
      </c>
      <c r="B115" s="10" t="s">
        <v>283</v>
      </c>
      <c r="C115" s="13" t="s">
        <v>284</v>
      </c>
      <c r="D115" s="49">
        <v>250</v>
      </c>
      <c r="E115" s="51" t="s">
        <v>285</v>
      </c>
      <c r="F115" s="45">
        <v>121.61</v>
      </c>
      <c r="G115" s="143">
        <f>D115*F115*(1+E6)</f>
        <v>38720.624000000003</v>
      </c>
    </row>
    <row r="116" spans="1:7" x14ac:dyDescent="0.2">
      <c r="A116" s="150" t="s">
        <v>395</v>
      </c>
      <c r="B116" s="10" t="s">
        <v>287</v>
      </c>
      <c r="C116" s="13" t="s">
        <v>286</v>
      </c>
      <c r="D116" s="49">
        <v>500</v>
      </c>
      <c r="E116" s="51" t="s">
        <v>285</v>
      </c>
      <c r="F116" s="45">
        <v>38.299999999999997</v>
      </c>
      <c r="G116" s="143">
        <f>D116*F116*(1+E6)</f>
        <v>24389.440000000002</v>
      </c>
    </row>
    <row r="117" spans="1:7" x14ac:dyDescent="0.2">
      <c r="A117" s="182"/>
      <c r="B117" s="183"/>
      <c r="C117" s="183"/>
      <c r="D117" s="183"/>
      <c r="E117" s="183"/>
      <c r="F117" s="183"/>
      <c r="G117" s="184"/>
    </row>
    <row r="118" spans="1:7" ht="15.75" x14ac:dyDescent="0.25">
      <c r="A118" s="148">
        <v>21</v>
      </c>
      <c r="B118" s="7"/>
      <c r="C118" s="4" t="s">
        <v>19</v>
      </c>
      <c r="D118" s="5"/>
      <c r="E118" s="6"/>
      <c r="F118" s="107"/>
      <c r="G118" s="144">
        <f>G119</f>
        <v>936.02467839999997</v>
      </c>
    </row>
    <row r="119" spans="1:7" x14ac:dyDescent="0.2">
      <c r="A119" s="150" t="s">
        <v>396</v>
      </c>
      <c r="B119" s="10" t="s">
        <v>176</v>
      </c>
      <c r="C119" s="13" t="s">
        <v>177</v>
      </c>
      <c r="D119" s="15">
        <f>'Memória de cálculo'!D86</f>
        <v>95.2</v>
      </c>
      <c r="E119" s="3" t="s">
        <v>11</v>
      </c>
      <c r="F119" s="45">
        <v>7.72</v>
      </c>
      <c r="G119" s="143">
        <f>D119*F119*(1+E6)</f>
        <v>936.02467839999997</v>
      </c>
    </row>
    <row r="120" spans="1:7" ht="20.100000000000001" customHeight="1" x14ac:dyDescent="0.2">
      <c r="A120" s="145"/>
      <c r="B120" s="9"/>
      <c r="C120" s="9"/>
      <c r="D120" s="9"/>
      <c r="E120" s="9"/>
      <c r="F120" s="46"/>
      <c r="G120" s="146"/>
    </row>
    <row r="121" spans="1:7" ht="31.5" customHeight="1" thickBot="1" x14ac:dyDescent="0.25">
      <c r="A121" s="179" t="s">
        <v>292</v>
      </c>
      <c r="B121" s="180"/>
      <c r="C121" s="180"/>
      <c r="D121" s="180"/>
      <c r="E121" s="180"/>
      <c r="F121" s="181"/>
      <c r="G121" s="147">
        <f>G8+G16+G19+G23+G34+G39+G44+G48+G52+G57+G63+G66+G69+G73+G79+G85+G101+G105+G108+G113+G118</f>
        <v>679552.56807989592</v>
      </c>
    </row>
  </sheetData>
  <mergeCells count="23">
    <mergeCell ref="A100:G100"/>
    <mergeCell ref="A84:G84"/>
    <mergeCell ref="A78:G78"/>
    <mergeCell ref="A72:G72"/>
    <mergeCell ref="A68:G68"/>
    <mergeCell ref="A51:G51"/>
    <mergeCell ref="A47:G47"/>
    <mergeCell ref="A43:G43"/>
    <mergeCell ref="A2:G2"/>
    <mergeCell ref="A6:C6"/>
    <mergeCell ref="A5:F5"/>
    <mergeCell ref="A4:F4"/>
    <mergeCell ref="F6:G6"/>
    <mergeCell ref="A121:F121"/>
    <mergeCell ref="A117:G117"/>
    <mergeCell ref="A107:G107"/>
    <mergeCell ref="A104:G104"/>
    <mergeCell ref="A38:G38"/>
    <mergeCell ref="A15:G15"/>
    <mergeCell ref="A18:G18"/>
    <mergeCell ref="A65:G65"/>
    <mergeCell ref="A62:G62"/>
    <mergeCell ref="A56:G56"/>
  </mergeCells>
  <phoneticPr fontId="2" type="noConversion"/>
  <pageMargins left="0.39370078740157483" right="0.19685039370078741" top="0.39370078740157483" bottom="0.39370078740157483" header="0" footer="0"/>
  <pageSetup paperSize="9" scale="91" fitToHeight="0" orientation="landscape" r:id="rId1"/>
  <headerFooter alignWithMargins="0"/>
  <drawing r:id="rId2"/>
  <legacyDrawing r:id="rId3"/>
  <oleObjects>
    <mc:AlternateContent xmlns:mc="http://schemas.openxmlformats.org/markup-compatibility/2006">
      <mc:Choice Requires="x14">
        <oleObject progId="Word.Picture.8" shapeId="1028" r:id="rId4">
          <objectPr defaultSize="0" autoPict="0" r:id="rId5">
            <anchor moveWithCells="1">
              <from>
                <xdr:col>0</xdr:col>
                <xdr:colOff>66675</xdr:colOff>
                <xdr:row>0</xdr:row>
                <xdr:rowOff>0</xdr:rowOff>
              </from>
              <to>
                <xdr:col>1</xdr:col>
                <xdr:colOff>304800</xdr:colOff>
                <xdr:row>0</xdr:row>
                <xdr:rowOff>619125</xdr:rowOff>
              </to>
            </anchor>
          </objectPr>
        </oleObject>
      </mc:Choice>
      <mc:Fallback>
        <oleObject progId="Word.Picture.8" shapeId="1028"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6"/>
  <sheetViews>
    <sheetView topLeftCell="A28" workbookViewId="0">
      <selection activeCell="D47" sqref="D47"/>
    </sheetView>
  </sheetViews>
  <sheetFormatPr defaultRowHeight="12.75" x14ac:dyDescent="0.2"/>
  <cols>
    <col min="1" max="1" width="7.7109375" customWidth="1"/>
    <col min="2" max="2" width="51.28515625" customWidth="1"/>
    <col min="3" max="3" width="61.5703125" customWidth="1"/>
    <col min="4" max="4" width="8.7109375" customWidth="1"/>
    <col min="5" max="5" width="6.7109375" customWidth="1"/>
  </cols>
  <sheetData>
    <row r="1" spans="1:5" x14ac:dyDescent="0.2">
      <c r="A1" s="198" t="s">
        <v>84</v>
      </c>
      <c r="B1" s="199"/>
      <c r="C1" s="199"/>
      <c r="D1" s="199"/>
      <c r="E1" s="199"/>
    </row>
    <row r="2" spans="1:5" x14ac:dyDescent="0.2">
      <c r="A2" s="19"/>
      <c r="B2" s="20"/>
      <c r="C2" s="19"/>
      <c r="D2" s="21"/>
    </row>
    <row r="3" spans="1:5" x14ac:dyDescent="0.2">
      <c r="A3" s="1" t="s">
        <v>0</v>
      </c>
      <c r="B3" s="22" t="s">
        <v>1</v>
      </c>
      <c r="C3" s="1" t="s">
        <v>85</v>
      </c>
      <c r="D3" s="200" t="s">
        <v>5</v>
      </c>
      <c r="E3" s="201"/>
    </row>
    <row r="4" spans="1:5" ht="15" x14ac:dyDescent="0.25">
      <c r="B4" s="4" t="s">
        <v>21</v>
      </c>
      <c r="C4" s="8"/>
      <c r="D4" s="23"/>
      <c r="E4" s="24"/>
    </row>
    <row r="5" spans="1:5" x14ac:dyDescent="0.2">
      <c r="B5" s="11" t="s">
        <v>23</v>
      </c>
      <c r="C5" s="25"/>
      <c r="D5" s="26"/>
      <c r="E5" s="27" t="s">
        <v>11</v>
      </c>
    </row>
    <row r="6" spans="1:5" ht="36" x14ac:dyDescent="0.2">
      <c r="B6" s="13" t="s">
        <v>24</v>
      </c>
      <c r="C6" s="34" t="s">
        <v>352</v>
      </c>
      <c r="D6" s="26">
        <f>3*1.5</f>
        <v>4.5</v>
      </c>
      <c r="E6" s="35" t="s">
        <v>11</v>
      </c>
    </row>
    <row r="7" spans="1:5" x14ac:dyDescent="0.2">
      <c r="B7" s="13" t="s">
        <v>239</v>
      </c>
      <c r="C7" s="25" t="s">
        <v>368</v>
      </c>
      <c r="D7" s="26">
        <f>17+17+6</f>
        <v>40</v>
      </c>
      <c r="E7" s="27" t="s">
        <v>11</v>
      </c>
    </row>
    <row r="8" spans="1:5" ht="15" x14ac:dyDescent="0.25">
      <c r="B8" s="4" t="s">
        <v>14</v>
      </c>
      <c r="C8" s="28"/>
      <c r="D8" s="29"/>
      <c r="E8" s="30"/>
    </row>
    <row r="9" spans="1:5" x14ac:dyDescent="0.2">
      <c r="B9" s="11" t="s">
        <v>26</v>
      </c>
      <c r="C9" s="25"/>
      <c r="D9" s="26">
        <f>4.65*17.8</f>
        <v>82.77000000000001</v>
      </c>
      <c r="E9" s="27" t="s">
        <v>11</v>
      </c>
    </row>
    <row r="10" spans="1:5" ht="15" x14ac:dyDescent="0.25">
      <c r="B10" s="4" t="s">
        <v>86</v>
      </c>
      <c r="C10" s="28"/>
      <c r="D10" s="29"/>
      <c r="E10" s="30"/>
    </row>
    <row r="11" spans="1:5" ht="18" customHeight="1" x14ac:dyDescent="0.2">
      <c r="B11" s="42" t="s">
        <v>27</v>
      </c>
      <c r="C11" s="124" t="s">
        <v>366</v>
      </c>
      <c r="D11" s="31">
        <f>(((15.55*2)+(3.65*6))*0.4*0.2)+(0.7*0.55*4)+(0.75*0.9*6)+(0.85*0.7*2)</f>
        <v>11.020000000000001</v>
      </c>
      <c r="E11" s="32" t="s">
        <v>13</v>
      </c>
    </row>
    <row r="12" spans="1:5" ht="18" customHeight="1" x14ac:dyDescent="0.2">
      <c r="B12" s="42" t="s">
        <v>28</v>
      </c>
      <c r="C12" s="124" t="s">
        <v>367</v>
      </c>
      <c r="D12" s="31">
        <f>((10.5+10.5+7.75+4.15+4.1+2.45+2.45+4.15+4.15+4.15+4.15+5.2+26.2+5.2+26.2)*0.2)+(30*0.95*0.8)+(38*0.8)</f>
        <v>77.460000000000008</v>
      </c>
      <c r="E12" s="32" t="s">
        <v>11</v>
      </c>
    </row>
    <row r="13" spans="1:5" ht="15" x14ac:dyDescent="0.25">
      <c r="B13" s="4" t="s">
        <v>87</v>
      </c>
      <c r="C13" s="28"/>
      <c r="D13" s="29"/>
      <c r="E13" s="30"/>
    </row>
    <row r="14" spans="1:5" ht="18" customHeight="1" x14ac:dyDescent="0.2">
      <c r="B14" s="13" t="s">
        <v>34</v>
      </c>
      <c r="C14" s="34" t="s">
        <v>258</v>
      </c>
      <c r="D14" s="26">
        <f>140.9+21.6+53.1+24.5+21.5</f>
        <v>261.60000000000002</v>
      </c>
      <c r="E14" s="27" t="s">
        <v>11</v>
      </c>
    </row>
    <row r="15" spans="1:5" ht="18" customHeight="1" x14ac:dyDescent="0.2">
      <c r="B15" s="13" t="s">
        <v>240</v>
      </c>
      <c r="C15" s="34" t="s">
        <v>258</v>
      </c>
      <c r="D15" s="26">
        <f>11.8+1.1+5.3+5.3+2.1</f>
        <v>25.6</v>
      </c>
      <c r="E15" s="27" t="s">
        <v>13</v>
      </c>
    </row>
    <row r="16" spans="1:5" ht="18" customHeight="1" x14ac:dyDescent="0.2">
      <c r="B16" s="13" t="s">
        <v>36</v>
      </c>
      <c r="C16" s="34" t="s">
        <v>258</v>
      </c>
      <c r="D16" s="26">
        <f>617.6+188.8+292.2+179.4+123.6</f>
        <v>1401.6000000000001</v>
      </c>
      <c r="E16" s="27" t="s">
        <v>37</v>
      </c>
    </row>
    <row r="17" spans="2:5" ht="15" x14ac:dyDescent="0.25">
      <c r="B17" s="4" t="s">
        <v>88</v>
      </c>
      <c r="C17" s="34"/>
      <c r="D17" s="29"/>
      <c r="E17" s="30"/>
    </row>
    <row r="18" spans="2:5" ht="24" x14ac:dyDescent="0.2">
      <c r="B18" s="13" t="s">
        <v>38</v>
      </c>
      <c r="C18" s="34" t="s">
        <v>258</v>
      </c>
      <c r="D18" s="26">
        <f>7.7+7.2+44.3+37.8+22.2+12.4</f>
        <v>131.6</v>
      </c>
      <c r="E18" s="35" t="s">
        <v>11</v>
      </c>
    </row>
    <row r="19" spans="2:5" ht="18" customHeight="1" x14ac:dyDescent="0.2">
      <c r="B19" s="13" t="s">
        <v>92</v>
      </c>
      <c r="C19" s="34" t="s">
        <v>258</v>
      </c>
      <c r="D19" s="26">
        <f>0.5+0.4+4.1+1.9+1.3+(4.2*3.4)</f>
        <v>22.48</v>
      </c>
      <c r="E19" s="35" t="s">
        <v>13</v>
      </c>
    </row>
    <row r="20" spans="2:5" ht="18" customHeight="1" x14ac:dyDescent="0.2">
      <c r="B20" s="13" t="s">
        <v>36</v>
      </c>
      <c r="C20" s="34" t="s">
        <v>258</v>
      </c>
      <c r="D20" s="26">
        <f>237.9+169.5+212.3+116.6</f>
        <v>736.30000000000007</v>
      </c>
      <c r="E20" s="35" t="s">
        <v>37</v>
      </c>
    </row>
    <row r="21" spans="2:5" ht="15" x14ac:dyDescent="0.25">
      <c r="B21" s="4" t="s">
        <v>93</v>
      </c>
      <c r="C21" s="28"/>
      <c r="D21" s="29"/>
      <c r="E21" s="30"/>
    </row>
    <row r="22" spans="2:5" ht="48" x14ac:dyDescent="0.2">
      <c r="B22" s="13" t="s">
        <v>39</v>
      </c>
      <c r="C22" s="129" t="s">
        <v>320</v>
      </c>
      <c r="D22" s="26">
        <f>6+6+6+6+6+2.82+28.88+28.88+26.66+26.66+6+14.97+(4*3.1)</f>
        <v>177.27</v>
      </c>
      <c r="E22" s="36" t="s">
        <v>89</v>
      </c>
    </row>
    <row r="23" spans="2:5" ht="15" x14ac:dyDescent="0.25">
      <c r="B23" s="4" t="s">
        <v>51</v>
      </c>
      <c r="C23" s="28"/>
      <c r="D23" s="29"/>
      <c r="E23" s="30"/>
    </row>
    <row r="24" spans="2:5" ht="24" x14ac:dyDescent="0.2">
      <c r="B24" s="13" t="s">
        <v>52</v>
      </c>
      <c r="C24" s="34" t="s">
        <v>321</v>
      </c>
      <c r="D24" s="26">
        <f>130.3+59.6+(3.1*4)</f>
        <v>202.3</v>
      </c>
      <c r="E24" s="35" t="s">
        <v>11</v>
      </c>
    </row>
    <row r="25" spans="2:5" ht="24" x14ac:dyDescent="0.2">
      <c r="B25" s="13" t="s">
        <v>53</v>
      </c>
      <c r="C25" s="34">
        <v>21.4</v>
      </c>
      <c r="D25" s="175">
        <f>21.4+(3.1*4)</f>
        <v>33.799999999999997</v>
      </c>
      <c r="E25" s="35" t="s">
        <v>11</v>
      </c>
    </row>
    <row r="26" spans="2:5" ht="15" x14ac:dyDescent="0.25">
      <c r="B26" s="4" t="s">
        <v>75</v>
      </c>
      <c r="C26" s="37"/>
      <c r="D26" s="29"/>
      <c r="E26" s="38"/>
    </row>
    <row r="27" spans="2:5" ht="24" x14ac:dyDescent="0.2">
      <c r="B27" s="13" t="s">
        <v>76</v>
      </c>
      <c r="C27" s="34" t="s">
        <v>322</v>
      </c>
      <c r="D27" s="26">
        <f>0.9+5.2+11.7+9.25+7.75+4.2+2.1+2.1+12.7+4.85+3.1</f>
        <v>63.850000000000009</v>
      </c>
      <c r="E27" s="35" t="s">
        <v>90</v>
      </c>
    </row>
    <row r="28" spans="2:5" ht="24" x14ac:dyDescent="0.2">
      <c r="B28" s="13" t="s">
        <v>77</v>
      </c>
      <c r="C28" s="34" t="s">
        <v>323</v>
      </c>
      <c r="D28" s="26">
        <f>2.75+2.75+2.45+2.45+7.65+7.65+0.75+0.75+3.1+8</f>
        <v>38.300000000000004</v>
      </c>
      <c r="E28" s="35" t="s">
        <v>90</v>
      </c>
    </row>
    <row r="29" spans="2:5" ht="24" x14ac:dyDescent="0.2">
      <c r="B29" s="13" t="s">
        <v>78</v>
      </c>
      <c r="C29" s="34" t="s">
        <v>324</v>
      </c>
      <c r="D29" s="26">
        <f>9*3.5+3</f>
        <v>34.5</v>
      </c>
      <c r="E29" s="35" t="s">
        <v>90</v>
      </c>
    </row>
    <row r="30" spans="2:5" ht="15" x14ac:dyDescent="0.25">
      <c r="B30" s="4" t="s">
        <v>17</v>
      </c>
      <c r="C30" s="43"/>
      <c r="D30" s="29"/>
      <c r="E30" s="30"/>
    </row>
    <row r="31" spans="2:5" ht="27.95" customHeight="1" x14ac:dyDescent="0.2">
      <c r="B31" s="42" t="s">
        <v>47</v>
      </c>
      <c r="C31" s="125" t="s">
        <v>325</v>
      </c>
      <c r="D31" s="176">
        <f>26.66+6+6+6+26.66+2.8+14.28</f>
        <v>88.399999999999991</v>
      </c>
      <c r="E31" s="39" t="s">
        <v>11</v>
      </c>
    </row>
    <row r="32" spans="2:5" ht="27.95" customHeight="1" x14ac:dyDescent="0.2">
      <c r="B32" s="42" t="s">
        <v>48</v>
      </c>
      <c r="C32" s="125" t="s">
        <v>326</v>
      </c>
      <c r="D32" s="176">
        <f>D31+6+6+28.88+28.88+14.28</f>
        <v>172.44</v>
      </c>
      <c r="E32" s="39" t="s">
        <v>11</v>
      </c>
    </row>
    <row r="33" spans="2:9" ht="27.95" customHeight="1" x14ac:dyDescent="0.2">
      <c r="B33" s="13" t="s">
        <v>49</v>
      </c>
      <c r="C33" s="41" t="str">
        <f>C32</f>
        <v>26,66+6+6+6+26,66+2,8+6+6+28,88+28,88</v>
      </c>
      <c r="D33" s="26">
        <f>D32</f>
        <v>172.44</v>
      </c>
      <c r="E33" s="35" t="s">
        <v>11</v>
      </c>
    </row>
    <row r="34" spans="2:9" ht="36" x14ac:dyDescent="0.2">
      <c r="B34" s="13" t="s">
        <v>50</v>
      </c>
      <c r="C34" s="41" t="str">
        <f>C33</f>
        <v>26,66+6+6+6+26,66+2,8+6+6+28,88+28,88</v>
      </c>
      <c r="D34" s="26">
        <f>D32</f>
        <v>172.44</v>
      </c>
      <c r="E34" s="35" t="s">
        <v>11</v>
      </c>
    </row>
    <row r="35" spans="2:9" x14ac:dyDescent="0.2">
      <c r="B35" s="165" t="s">
        <v>327</v>
      </c>
      <c r="C35" s="34" t="s">
        <v>262</v>
      </c>
      <c r="D35" s="26">
        <f>0.15*0.9*12</f>
        <v>1.62</v>
      </c>
      <c r="E35" s="35" t="s">
        <v>11</v>
      </c>
    </row>
    <row r="36" spans="2:9" ht="15" x14ac:dyDescent="0.25">
      <c r="B36" s="4" t="s">
        <v>15</v>
      </c>
      <c r="C36" s="37"/>
      <c r="D36" s="29"/>
      <c r="E36" s="38"/>
    </row>
    <row r="37" spans="2:9" ht="24" x14ac:dyDescent="0.2">
      <c r="B37" s="42" t="s">
        <v>29</v>
      </c>
      <c r="C37" s="126" t="s">
        <v>328</v>
      </c>
      <c r="D37" s="177">
        <f>((2.45+2.45+7.6+2.45+2.45+2.45+2.45+4.1+2.45+1.15)+(31.4+31.4+1.5+10.5+7.75+1.5+1.5+4.1))*3+(2.75+2.75+7.75+7.75)*1.15+(5.9+12.85)+(11.4*3)</f>
        <v>436.04999999999995</v>
      </c>
      <c r="E37" s="40" t="s">
        <v>11</v>
      </c>
    </row>
    <row r="38" spans="2:9" ht="15" x14ac:dyDescent="0.25">
      <c r="B38" s="4" t="s">
        <v>94</v>
      </c>
      <c r="C38" s="37"/>
      <c r="D38" s="29"/>
      <c r="E38" s="38"/>
    </row>
    <row r="39" spans="2:9" x14ac:dyDescent="0.2">
      <c r="B39" s="13" t="s">
        <v>41</v>
      </c>
      <c r="C39" s="34" t="s">
        <v>270</v>
      </c>
      <c r="D39" s="164">
        <f>((2*2.2*2)+(2*5.8*2)+(4*2.4*2)+(2*4.2*2)+(2*1*2)+(1*1.8*2)+(10*1.2)+(1*1.1))*0.15*0.1+(2*2.2)+1.1</f>
        <v>6.8305000000000007</v>
      </c>
      <c r="E39" s="35" t="s">
        <v>13</v>
      </c>
    </row>
    <row r="40" spans="2:9" x14ac:dyDescent="0.2">
      <c r="B40" s="34"/>
      <c r="C40" s="26"/>
      <c r="D40" s="35"/>
    </row>
    <row r="41" spans="2:9" ht="15" x14ac:dyDescent="0.25">
      <c r="B41" s="4" t="s">
        <v>72</v>
      </c>
      <c r="C41" s="37"/>
      <c r="D41" s="29"/>
      <c r="E41" s="38"/>
    </row>
    <row r="42" spans="2:9" ht="24" x14ac:dyDescent="0.2">
      <c r="B42" s="13"/>
      <c r="C42" s="41" t="s">
        <v>241</v>
      </c>
      <c r="D42" s="26"/>
      <c r="E42" s="35" t="s">
        <v>11</v>
      </c>
    </row>
    <row r="43" spans="2:9" ht="36" x14ac:dyDescent="0.2">
      <c r="B43" s="13" t="s">
        <v>73</v>
      </c>
      <c r="C43" s="41" t="s">
        <v>336</v>
      </c>
      <c r="D43" s="164">
        <v>12</v>
      </c>
      <c r="E43" s="35" t="s">
        <v>11</v>
      </c>
    </row>
    <row r="44" spans="2:9" x14ac:dyDescent="0.2">
      <c r="B44" s="13"/>
      <c r="C44" s="41"/>
      <c r="D44" s="26"/>
      <c r="E44" s="35"/>
    </row>
    <row r="45" spans="2:9" ht="24" x14ac:dyDescent="0.2">
      <c r="B45" s="13" t="s">
        <v>74</v>
      </c>
      <c r="C45" s="41" t="s">
        <v>336</v>
      </c>
      <c r="D45" s="164">
        <f>(2*1.8*0.6)+(2*5.4*0.6)+(4*2*0.6)+(2*0.6*0.6)+(1*1.4*0.6)</f>
        <v>15.000000000000002</v>
      </c>
      <c r="E45" s="35" t="s">
        <v>11</v>
      </c>
    </row>
    <row r="46" spans="2:9" ht="15" x14ac:dyDescent="0.25">
      <c r="B46" s="4" t="s">
        <v>16</v>
      </c>
      <c r="C46" s="37"/>
      <c r="D46" s="167"/>
      <c r="E46" s="38"/>
    </row>
    <row r="47" spans="2:9" ht="38.1" customHeight="1" x14ac:dyDescent="0.2">
      <c r="B47" s="42" t="s">
        <v>30</v>
      </c>
      <c r="C47" s="126" t="s">
        <v>279</v>
      </c>
      <c r="D47" s="166">
        <f>'Memória Auxiliar'!D32+'Memória Auxiliar'!H32+'Memória Auxiliar'!K32</f>
        <v>1073.3074999999999</v>
      </c>
      <c r="E47" s="33" t="s">
        <v>11</v>
      </c>
      <c r="I47" s="18"/>
    </row>
    <row r="48" spans="2:9" ht="27.95" customHeight="1" x14ac:dyDescent="0.2">
      <c r="B48" s="128" t="s">
        <v>42</v>
      </c>
      <c r="C48" s="41" t="s">
        <v>281</v>
      </c>
      <c r="D48" s="164">
        <f>D47-D49</f>
        <v>196.70000000000005</v>
      </c>
      <c r="E48" s="35" t="s">
        <v>11</v>
      </c>
      <c r="G48" s="127"/>
    </row>
    <row r="49" spans="2:5" x14ac:dyDescent="0.2">
      <c r="B49" s="13" t="s">
        <v>31</v>
      </c>
      <c r="C49" s="34" t="s">
        <v>280</v>
      </c>
      <c r="D49" s="168">
        <f>'Memória Auxiliar'!D34+'Memória Auxiliar'!H34+'Memória Auxiliar'!K34</f>
        <v>876.60749999999985</v>
      </c>
      <c r="E49" s="35" t="s">
        <v>11</v>
      </c>
    </row>
    <row r="50" spans="2:5" ht="38.1" customHeight="1" x14ac:dyDescent="0.2">
      <c r="B50" s="13" t="s">
        <v>44</v>
      </c>
      <c r="C50" s="41" t="s">
        <v>243</v>
      </c>
      <c r="D50" s="164">
        <f>D48</f>
        <v>196.70000000000005</v>
      </c>
      <c r="E50" s="35" t="s">
        <v>11</v>
      </c>
    </row>
    <row r="51" spans="2:5" ht="15" x14ac:dyDescent="0.25">
      <c r="B51" s="4" t="s">
        <v>18</v>
      </c>
      <c r="C51" s="37"/>
      <c r="D51" s="29"/>
      <c r="E51" s="38"/>
    </row>
    <row r="52" spans="2:5" x14ac:dyDescent="0.2">
      <c r="B52" s="13" t="s">
        <v>32</v>
      </c>
      <c r="C52" s="34" t="s">
        <v>242</v>
      </c>
      <c r="D52" s="168">
        <f>D49</f>
        <v>876.60749999999985</v>
      </c>
      <c r="E52" s="35" t="s">
        <v>11</v>
      </c>
    </row>
    <row r="53" spans="2:5" ht="24" x14ac:dyDescent="0.2">
      <c r="B53" s="13" t="s">
        <v>45</v>
      </c>
      <c r="C53" s="41" t="s">
        <v>337</v>
      </c>
      <c r="D53" s="164">
        <f>D45</f>
        <v>15.000000000000002</v>
      </c>
      <c r="E53" s="35" t="s">
        <v>11</v>
      </c>
    </row>
    <row r="54" spans="2:5" ht="24" x14ac:dyDescent="0.2">
      <c r="B54" s="13" t="s">
        <v>46</v>
      </c>
      <c r="C54" s="34" t="s">
        <v>338</v>
      </c>
      <c r="D54" s="164">
        <f>((0.25*2*2.1)+(0.8*2*2.1)+(1))*11</f>
        <v>59.510000000000005</v>
      </c>
      <c r="E54" s="35" t="s">
        <v>11</v>
      </c>
    </row>
    <row r="55" spans="2:5" ht="15" x14ac:dyDescent="0.25">
      <c r="B55" s="4" t="s">
        <v>54</v>
      </c>
      <c r="C55" s="37"/>
      <c r="D55" s="29"/>
      <c r="E55" s="38"/>
    </row>
    <row r="56" spans="2:5" ht="36" x14ac:dyDescent="0.2">
      <c r="B56" s="13" t="s">
        <v>55</v>
      </c>
      <c r="C56" s="41" t="s">
        <v>339</v>
      </c>
      <c r="D56" s="164">
        <f>5+5</f>
        <v>10</v>
      </c>
      <c r="E56" s="35" t="s">
        <v>22</v>
      </c>
    </row>
    <row r="57" spans="2:5" ht="24" x14ac:dyDescent="0.2">
      <c r="B57" s="13" t="s">
        <v>56</v>
      </c>
      <c r="C57" s="34" t="s">
        <v>340</v>
      </c>
      <c r="D57" s="164">
        <v>9</v>
      </c>
      <c r="E57" s="35" t="s">
        <v>22</v>
      </c>
    </row>
    <row r="58" spans="2:5" ht="24" x14ac:dyDescent="0.2">
      <c r="B58" s="13" t="s">
        <v>57</v>
      </c>
      <c r="C58" s="41" t="s">
        <v>341</v>
      </c>
      <c r="D58" s="164">
        <f>5+9+4</f>
        <v>18</v>
      </c>
      <c r="E58" s="35" t="s">
        <v>22</v>
      </c>
    </row>
    <row r="59" spans="2:5" x14ac:dyDescent="0.2">
      <c r="B59" s="13" t="s">
        <v>59</v>
      </c>
      <c r="C59" s="34">
        <v>2</v>
      </c>
      <c r="D59" s="164">
        <v>2</v>
      </c>
      <c r="E59" s="35" t="s">
        <v>22</v>
      </c>
    </row>
    <row r="60" spans="2:5" x14ac:dyDescent="0.2">
      <c r="B60" s="13" t="s">
        <v>60</v>
      </c>
      <c r="C60" s="34" t="s">
        <v>342</v>
      </c>
      <c r="D60" s="164">
        <v>5</v>
      </c>
      <c r="E60" s="35" t="s">
        <v>22</v>
      </c>
    </row>
    <row r="61" spans="2:5" ht="24" customHeight="1" x14ac:dyDescent="0.2">
      <c r="B61" s="13"/>
      <c r="C61" s="41"/>
      <c r="D61" s="164"/>
      <c r="E61" s="35" t="s">
        <v>22</v>
      </c>
    </row>
    <row r="62" spans="2:5" x14ac:dyDescent="0.2">
      <c r="B62" s="13" t="s">
        <v>61</v>
      </c>
      <c r="C62" s="34" t="s">
        <v>343</v>
      </c>
      <c r="D62" s="164">
        <v>4</v>
      </c>
      <c r="E62" s="35" t="s">
        <v>22</v>
      </c>
    </row>
    <row r="63" spans="2:5" ht="24" x14ac:dyDescent="0.2">
      <c r="B63" s="13" t="s">
        <v>62</v>
      </c>
      <c r="C63" s="34" t="s">
        <v>342</v>
      </c>
      <c r="D63" s="164">
        <v>5</v>
      </c>
      <c r="E63" s="35" t="s">
        <v>22</v>
      </c>
    </row>
    <row r="64" spans="2:5" x14ac:dyDescent="0.2">
      <c r="B64" s="13"/>
      <c r="C64" s="34"/>
      <c r="D64" s="26"/>
      <c r="E64" s="35"/>
    </row>
    <row r="65" spans="2:5" x14ac:dyDescent="0.2">
      <c r="B65" s="13" t="s">
        <v>63</v>
      </c>
      <c r="C65" s="34" t="s">
        <v>344</v>
      </c>
      <c r="D65" s="164">
        <v>9</v>
      </c>
      <c r="E65" s="35" t="s">
        <v>22</v>
      </c>
    </row>
    <row r="66" spans="2:5" x14ac:dyDescent="0.2">
      <c r="B66" s="13"/>
      <c r="C66" s="34"/>
      <c r="D66" s="26"/>
      <c r="E66" s="35" t="s">
        <v>22</v>
      </c>
    </row>
    <row r="67" spans="2:5" x14ac:dyDescent="0.2">
      <c r="B67" s="13" t="s">
        <v>64</v>
      </c>
      <c r="C67" s="34" t="str">
        <f>C65</f>
        <v>9 vasos</v>
      </c>
      <c r="D67" s="164">
        <f>D65</f>
        <v>9</v>
      </c>
      <c r="E67" s="35" t="s">
        <v>22</v>
      </c>
    </row>
    <row r="68" spans="2:5" x14ac:dyDescent="0.2">
      <c r="B68" s="13"/>
      <c r="C68" s="34"/>
      <c r="D68" s="26"/>
      <c r="E68" s="35"/>
    </row>
    <row r="69" spans="2:5" x14ac:dyDescent="0.2">
      <c r="B69" s="13"/>
      <c r="C69" s="34"/>
      <c r="D69" s="26"/>
      <c r="E69" s="35"/>
    </row>
    <row r="70" spans="2:5" x14ac:dyDescent="0.2">
      <c r="B70" s="13" t="s">
        <v>65</v>
      </c>
      <c r="C70" s="34" t="s">
        <v>345</v>
      </c>
      <c r="D70" s="164">
        <v>5</v>
      </c>
      <c r="E70" s="35" t="s">
        <v>22</v>
      </c>
    </row>
    <row r="71" spans="2:5" x14ac:dyDescent="0.2">
      <c r="B71" s="13" t="s">
        <v>66</v>
      </c>
      <c r="C71" s="34" t="s">
        <v>346</v>
      </c>
      <c r="D71" s="164">
        <f>5+4</f>
        <v>9</v>
      </c>
      <c r="E71" s="35" t="s">
        <v>22</v>
      </c>
    </row>
    <row r="72" spans="2:5" ht="15" x14ac:dyDescent="0.25">
      <c r="B72" s="4" t="s">
        <v>67</v>
      </c>
      <c r="C72" s="37"/>
      <c r="D72" s="29"/>
      <c r="E72" s="38"/>
    </row>
    <row r="73" spans="2:5" ht="24" x14ac:dyDescent="0.2">
      <c r="B73" s="13" t="s">
        <v>68</v>
      </c>
      <c r="C73" s="34" t="s">
        <v>347</v>
      </c>
      <c r="D73" s="169">
        <f>8*1.2*2</f>
        <v>19.2</v>
      </c>
      <c r="E73" s="35" t="s">
        <v>11</v>
      </c>
    </row>
    <row r="74" spans="2:5" ht="24" x14ac:dyDescent="0.2">
      <c r="B74" s="13" t="s">
        <v>69</v>
      </c>
      <c r="C74" s="34" t="s">
        <v>347</v>
      </c>
      <c r="D74" s="169">
        <f>4*0.55</f>
        <v>2.2000000000000002</v>
      </c>
      <c r="E74" s="35" t="s">
        <v>11</v>
      </c>
    </row>
    <row r="75" spans="2:5" ht="15" x14ac:dyDescent="0.25">
      <c r="B75" s="4" t="s">
        <v>70</v>
      </c>
      <c r="C75" s="37"/>
      <c r="D75" s="29"/>
      <c r="E75" s="38"/>
    </row>
    <row r="76" spans="2:5" x14ac:dyDescent="0.2">
      <c r="B76" s="13" t="s">
        <v>71</v>
      </c>
      <c r="C76" s="41" t="s">
        <v>348</v>
      </c>
      <c r="D76" s="169">
        <f>D45</f>
        <v>15.000000000000002</v>
      </c>
      <c r="E76" s="35" t="s">
        <v>11</v>
      </c>
    </row>
    <row r="77" spans="2:5" x14ac:dyDescent="0.2">
      <c r="B77" s="13"/>
      <c r="C77" s="34"/>
      <c r="D77" s="26"/>
      <c r="E77" s="35"/>
    </row>
    <row r="78" spans="2:5" x14ac:dyDescent="0.2">
      <c r="B78" s="13"/>
      <c r="C78" s="34"/>
      <c r="D78" s="26"/>
      <c r="E78" s="35"/>
    </row>
    <row r="79" spans="2:5" ht="15" x14ac:dyDescent="0.25">
      <c r="B79" s="4" t="s">
        <v>91</v>
      </c>
      <c r="C79" s="37"/>
      <c r="D79" s="29"/>
      <c r="E79" s="38"/>
    </row>
    <row r="80" spans="2:5" x14ac:dyDescent="0.2">
      <c r="B80" s="13" t="s">
        <v>79</v>
      </c>
      <c r="C80" s="41" t="s">
        <v>349</v>
      </c>
      <c r="D80" s="169">
        <f>5+8+2</f>
        <v>15</v>
      </c>
      <c r="E80" s="35" t="s">
        <v>22</v>
      </c>
    </row>
    <row r="81" spans="2:5" x14ac:dyDescent="0.2">
      <c r="B81" s="13" t="s">
        <v>80</v>
      </c>
      <c r="C81" s="41" t="s">
        <v>350</v>
      </c>
      <c r="D81" s="169">
        <f>16+5+2+2</f>
        <v>25</v>
      </c>
      <c r="E81" s="35" t="s">
        <v>22</v>
      </c>
    </row>
    <row r="82" spans="2:5" ht="24" x14ac:dyDescent="0.2">
      <c r="B82" s="13" t="s">
        <v>81</v>
      </c>
      <c r="C82" s="41" t="s">
        <v>351</v>
      </c>
      <c r="D82" s="169">
        <f>D80</f>
        <v>15</v>
      </c>
      <c r="E82" s="35" t="s">
        <v>22</v>
      </c>
    </row>
    <row r="83" spans="2:5" x14ac:dyDescent="0.2">
      <c r="B83" s="13" t="s">
        <v>82</v>
      </c>
      <c r="C83" s="41" t="s">
        <v>351</v>
      </c>
      <c r="D83" s="169">
        <f>D82</f>
        <v>15</v>
      </c>
      <c r="E83" s="35" t="s">
        <v>22</v>
      </c>
    </row>
    <row r="84" spans="2:5" x14ac:dyDescent="0.2">
      <c r="B84" s="13" t="s">
        <v>83</v>
      </c>
      <c r="C84" s="41" t="s">
        <v>351</v>
      </c>
      <c r="D84" s="169">
        <f>D83</f>
        <v>15</v>
      </c>
      <c r="E84" s="35" t="s">
        <v>22</v>
      </c>
    </row>
    <row r="85" spans="2:5" ht="15" x14ac:dyDescent="0.25">
      <c r="B85" s="4" t="s">
        <v>19</v>
      </c>
      <c r="C85" s="37"/>
      <c r="D85" s="170"/>
      <c r="E85" s="38"/>
    </row>
    <row r="86" spans="2:5" x14ac:dyDescent="0.2">
      <c r="B86" s="13" t="s">
        <v>33</v>
      </c>
      <c r="C86" s="25" t="s">
        <v>353</v>
      </c>
      <c r="D86" s="169">
        <v>95.2</v>
      </c>
      <c r="E86" s="27" t="s">
        <v>11</v>
      </c>
    </row>
  </sheetData>
  <mergeCells count="2">
    <mergeCell ref="A1:E1"/>
    <mergeCell ref="D3:E3"/>
  </mergeCells>
  <phoneticPr fontId="2" type="noConversion"/>
  <pageMargins left="0.78740157499999996" right="0.78740157499999996" top="0.984251969" bottom="0.984251969" header="0.49212598499999999" footer="0.49212598499999999"/>
  <pageSetup paperSize="9" scale="64"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8"/>
  <sheetViews>
    <sheetView topLeftCell="A4" workbookViewId="0">
      <selection activeCell="N36" sqref="N36"/>
    </sheetView>
  </sheetViews>
  <sheetFormatPr defaultRowHeight="12.75" x14ac:dyDescent="0.2"/>
  <sheetData>
    <row r="1" spans="1:23" x14ac:dyDescent="0.2">
      <c r="A1" s="14"/>
    </row>
    <row r="4" spans="1:23" ht="28.5" customHeight="1" x14ac:dyDescent="0.2">
      <c r="A4" s="14" t="s">
        <v>245</v>
      </c>
      <c r="C4" s="14" t="s">
        <v>246</v>
      </c>
      <c r="E4" s="14" t="s">
        <v>247</v>
      </c>
      <c r="G4" s="14" t="s">
        <v>248</v>
      </c>
      <c r="I4" s="14" t="s">
        <v>254</v>
      </c>
      <c r="J4" s="14"/>
      <c r="K4" s="202" t="s">
        <v>256</v>
      </c>
      <c r="L4" s="202"/>
      <c r="M4" s="14" t="s">
        <v>275</v>
      </c>
      <c r="O4" t="s">
        <v>250</v>
      </c>
      <c r="Q4" t="s">
        <v>251</v>
      </c>
      <c r="S4" t="s">
        <v>252</v>
      </c>
      <c r="U4" s="14" t="s">
        <v>255</v>
      </c>
      <c r="W4" s="14" t="s">
        <v>260</v>
      </c>
    </row>
    <row r="5" spans="1:23" x14ac:dyDescent="0.2">
      <c r="A5" s="14" t="s">
        <v>244</v>
      </c>
      <c r="C5" s="156">
        <v>2.4500000000000002</v>
      </c>
      <c r="D5" s="156"/>
      <c r="E5" s="156">
        <v>2.4500000000000002</v>
      </c>
      <c r="F5" s="156"/>
      <c r="G5" s="156">
        <v>3.5</v>
      </c>
      <c r="H5" s="18"/>
      <c r="I5" s="18">
        <f t="shared" ref="I5:I16" si="0">(C5+E5)*2</f>
        <v>9.8000000000000007</v>
      </c>
      <c r="J5" s="18"/>
      <c r="K5" s="18">
        <f t="shared" ref="K5:K16" si="1">(C5+E5)*2*G5</f>
        <v>34.300000000000004</v>
      </c>
      <c r="L5" s="18"/>
      <c r="M5" s="18">
        <f t="shared" ref="M5:M16" si="2">C5*E5</f>
        <v>6.0025000000000013</v>
      </c>
      <c r="N5" s="18"/>
      <c r="O5" s="18">
        <f t="shared" ref="O5:O16" si="3">I5*G5</f>
        <v>34.300000000000004</v>
      </c>
      <c r="P5" s="18"/>
      <c r="Q5" s="18">
        <f t="shared" ref="Q5:Q16" si="4">U5</f>
        <v>34.300000000000004</v>
      </c>
      <c r="R5" s="18"/>
      <c r="S5" s="18">
        <f t="shared" ref="S5:S10" si="5">O5-Q5</f>
        <v>0</v>
      </c>
      <c r="T5" s="18"/>
      <c r="U5" s="156">
        <f t="shared" ref="U5:U10" si="6">I5*3.5</f>
        <v>34.300000000000004</v>
      </c>
      <c r="V5" s="18"/>
      <c r="W5" s="18">
        <f t="shared" ref="W5:W17" si="7">M5</f>
        <v>6.0025000000000013</v>
      </c>
    </row>
    <row r="6" spans="1:23" x14ac:dyDescent="0.2">
      <c r="A6" s="14" t="s">
        <v>249</v>
      </c>
      <c r="C6" s="156">
        <v>2.4500000000000002</v>
      </c>
      <c r="D6" s="156"/>
      <c r="E6" s="156">
        <v>2.4500000000000002</v>
      </c>
      <c r="F6" s="156"/>
      <c r="G6" s="156">
        <v>3.5</v>
      </c>
      <c r="H6" s="18"/>
      <c r="I6" s="18">
        <f t="shared" si="0"/>
        <v>9.8000000000000007</v>
      </c>
      <c r="J6" s="18"/>
      <c r="K6" s="18">
        <f t="shared" si="1"/>
        <v>34.300000000000004</v>
      </c>
      <c r="L6" s="18"/>
      <c r="M6" s="18">
        <f t="shared" si="2"/>
        <v>6.0025000000000013</v>
      </c>
      <c r="N6" s="18"/>
      <c r="O6" s="18">
        <f t="shared" si="3"/>
        <v>34.300000000000004</v>
      </c>
      <c r="P6" s="18"/>
      <c r="Q6" s="18">
        <f t="shared" si="4"/>
        <v>34.300000000000004</v>
      </c>
      <c r="R6" s="18"/>
      <c r="S6" s="18">
        <f t="shared" si="5"/>
        <v>0</v>
      </c>
      <c r="T6" s="18"/>
      <c r="U6" s="156">
        <f t="shared" si="6"/>
        <v>34.300000000000004</v>
      </c>
      <c r="V6" s="18"/>
      <c r="W6" s="18">
        <f t="shared" si="7"/>
        <v>6.0025000000000013</v>
      </c>
    </row>
    <row r="7" spans="1:23" x14ac:dyDescent="0.2">
      <c r="A7" s="14" t="s">
        <v>298</v>
      </c>
      <c r="C7" s="156">
        <v>2.4500000000000002</v>
      </c>
      <c r="D7" s="156"/>
      <c r="E7" s="156">
        <v>2.4500000000000002</v>
      </c>
      <c r="F7" s="156"/>
      <c r="G7" s="156">
        <v>3.5</v>
      </c>
      <c r="H7" s="18"/>
      <c r="I7" s="18">
        <f t="shared" si="0"/>
        <v>9.8000000000000007</v>
      </c>
      <c r="J7" s="18"/>
      <c r="K7" s="18">
        <f t="shared" si="1"/>
        <v>34.300000000000004</v>
      </c>
      <c r="L7" s="18"/>
      <c r="M7" s="18">
        <f t="shared" si="2"/>
        <v>6.0025000000000013</v>
      </c>
      <c r="N7" s="18"/>
      <c r="O7" s="18">
        <f t="shared" si="3"/>
        <v>34.300000000000004</v>
      </c>
      <c r="P7" s="18"/>
      <c r="Q7" s="18">
        <f t="shared" si="4"/>
        <v>34.300000000000004</v>
      </c>
      <c r="R7" s="18"/>
      <c r="S7" s="18">
        <f t="shared" si="5"/>
        <v>0</v>
      </c>
      <c r="T7" s="18"/>
      <c r="U7" s="156">
        <f t="shared" si="6"/>
        <v>34.300000000000004</v>
      </c>
      <c r="V7" s="18"/>
      <c r="W7" s="18">
        <f t="shared" si="7"/>
        <v>6.0025000000000013</v>
      </c>
    </row>
    <row r="8" spans="1:23" x14ac:dyDescent="0.2">
      <c r="A8" s="14" t="s">
        <v>299</v>
      </c>
      <c r="C8" s="156">
        <v>2.4500000000000002</v>
      </c>
      <c r="D8" s="156"/>
      <c r="E8" s="156">
        <v>2.4500000000000002</v>
      </c>
      <c r="F8" s="156"/>
      <c r="G8" s="156">
        <v>3.5</v>
      </c>
      <c r="H8" s="18"/>
      <c r="I8" s="18">
        <f t="shared" si="0"/>
        <v>9.8000000000000007</v>
      </c>
      <c r="J8" s="18"/>
      <c r="K8" s="18">
        <f t="shared" si="1"/>
        <v>34.300000000000004</v>
      </c>
      <c r="L8" s="18"/>
      <c r="M8" s="18">
        <f t="shared" si="2"/>
        <v>6.0025000000000013</v>
      </c>
      <c r="N8" s="18"/>
      <c r="O8" s="18">
        <f t="shared" si="3"/>
        <v>34.300000000000004</v>
      </c>
      <c r="P8" s="18"/>
      <c r="Q8" s="18">
        <f t="shared" si="4"/>
        <v>34.300000000000004</v>
      </c>
      <c r="R8" s="18"/>
      <c r="S8" s="18">
        <f t="shared" si="5"/>
        <v>0</v>
      </c>
      <c r="T8" s="18"/>
      <c r="U8" s="156">
        <f t="shared" si="6"/>
        <v>34.300000000000004</v>
      </c>
      <c r="V8" s="18"/>
      <c r="W8" s="18">
        <f t="shared" si="7"/>
        <v>6.0025000000000013</v>
      </c>
    </row>
    <row r="9" spans="1:23" x14ac:dyDescent="0.2">
      <c r="A9" s="14" t="s">
        <v>299</v>
      </c>
      <c r="C9" s="156">
        <v>2.4500000000000002</v>
      </c>
      <c r="D9" s="156"/>
      <c r="E9" s="156">
        <v>2.4500000000000002</v>
      </c>
      <c r="F9" s="156"/>
      <c r="G9" s="156">
        <v>3.5</v>
      </c>
      <c r="H9" s="18"/>
      <c r="I9" s="18">
        <f t="shared" si="0"/>
        <v>9.8000000000000007</v>
      </c>
      <c r="J9" s="18"/>
      <c r="K9" s="18">
        <f t="shared" si="1"/>
        <v>34.300000000000004</v>
      </c>
      <c r="L9" s="18"/>
      <c r="M9" s="18">
        <f t="shared" si="2"/>
        <v>6.0025000000000013</v>
      </c>
      <c r="N9" s="18"/>
      <c r="O9" s="18">
        <f t="shared" si="3"/>
        <v>34.300000000000004</v>
      </c>
      <c r="P9" s="18"/>
      <c r="Q9" s="18">
        <f t="shared" si="4"/>
        <v>34.300000000000004</v>
      </c>
      <c r="R9" s="18"/>
      <c r="S9" s="18">
        <f t="shared" si="5"/>
        <v>0</v>
      </c>
      <c r="T9" s="18"/>
      <c r="U9" s="156">
        <f t="shared" si="6"/>
        <v>34.300000000000004</v>
      </c>
      <c r="V9" s="18"/>
      <c r="W9" s="18">
        <f t="shared" si="7"/>
        <v>6.0025000000000013</v>
      </c>
    </row>
    <row r="10" spans="1:23" x14ac:dyDescent="0.2">
      <c r="A10" s="14" t="s">
        <v>300</v>
      </c>
      <c r="C10" s="156">
        <v>2.4500000000000002</v>
      </c>
      <c r="D10" s="156"/>
      <c r="E10" s="156">
        <v>1.1499999999999999</v>
      </c>
      <c r="F10" s="156"/>
      <c r="G10" s="156">
        <v>3.5</v>
      </c>
      <c r="H10" s="18"/>
      <c r="I10" s="18">
        <f t="shared" si="0"/>
        <v>7.2</v>
      </c>
      <c r="J10" s="18"/>
      <c r="K10" s="18">
        <f t="shared" si="1"/>
        <v>25.2</v>
      </c>
      <c r="L10" s="18"/>
      <c r="M10" s="18">
        <f t="shared" si="2"/>
        <v>2.8174999999999999</v>
      </c>
      <c r="N10" s="18"/>
      <c r="O10" s="18">
        <f t="shared" si="3"/>
        <v>25.2</v>
      </c>
      <c r="P10" s="18"/>
      <c r="Q10" s="18">
        <f t="shared" si="4"/>
        <v>25.2</v>
      </c>
      <c r="R10" s="18"/>
      <c r="S10" s="18">
        <f t="shared" si="5"/>
        <v>0</v>
      </c>
      <c r="T10" s="18"/>
      <c r="U10" s="156">
        <f t="shared" si="6"/>
        <v>25.2</v>
      </c>
      <c r="V10" s="18"/>
      <c r="W10" s="18">
        <f t="shared" si="7"/>
        <v>2.8174999999999999</v>
      </c>
    </row>
    <row r="11" spans="1:23" x14ac:dyDescent="0.2">
      <c r="A11" s="14" t="s">
        <v>301</v>
      </c>
      <c r="C11" s="156">
        <v>3.8</v>
      </c>
      <c r="D11" s="156"/>
      <c r="E11" s="156">
        <v>7.6</v>
      </c>
      <c r="F11" s="156"/>
      <c r="G11" s="156">
        <v>3.5</v>
      </c>
      <c r="H11" s="18"/>
      <c r="I11" s="18">
        <f t="shared" si="0"/>
        <v>22.799999999999997</v>
      </c>
      <c r="J11" s="18"/>
      <c r="K11" s="18">
        <f t="shared" si="1"/>
        <v>79.799999999999983</v>
      </c>
      <c r="L11" s="18"/>
      <c r="M11" s="18">
        <f t="shared" si="2"/>
        <v>28.88</v>
      </c>
      <c r="N11" s="18"/>
      <c r="O11" s="18">
        <f t="shared" si="3"/>
        <v>79.799999999999983</v>
      </c>
      <c r="P11" s="18"/>
      <c r="Q11" s="18">
        <f t="shared" si="4"/>
        <v>0</v>
      </c>
      <c r="R11" s="18"/>
      <c r="S11" s="18">
        <f t="shared" ref="S11:S16" si="8">O11</f>
        <v>79.799999999999983</v>
      </c>
      <c r="T11" s="18"/>
      <c r="U11" s="156"/>
      <c r="V11" s="18"/>
      <c r="W11" s="18">
        <f t="shared" si="7"/>
        <v>28.88</v>
      </c>
    </row>
    <row r="12" spans="1:23" x14ac:dyDescent="0.2">
      <c r="A12" s="14" t="s">
        <v>302</v>
      </c>
      <c r="C12" s="156">
        <v>3.8</v>
      </c>
      <c r="D12" s="156"/>
      <c r="E12" s="156">
        <v>7.6</v>
      </c>
      <c r="F12" s="156"/>
      <c r="G12" s="156">
        <v>3.5</v>
      </c>
      <c r="H12" s="18"/>
      <c r="I12" s="18">
        <f t="shared" si="0"/>
        <v>22.799999999999997</v>
      </c>
      <c r="J12" s="18"/>
      <c r="K12" s="18">
        <f t="shared" si="1"/>
        <v>79.799999999999983</v>
      </c>
      <c r="L12" s="18"/>
      <c r="M12" s="18">
        <f t="shared" si="2"/>
        <v>28.88</v>
      </c>
      <c r="N12" s="18"/>
      <c r="O12" s="18">
        <f t="shared" si="3"/>
        <v>79.799999999999983</v>
      </c>
      <c r="P12" s="18"/>
      <c r="Q12" s="18">
        <f t="shared" si="4"/>
        <v>0</v>
      </c>
      <c r="R12" s="18"/>
      <c r="S12" s="18">
        <f t="shared" si="8"/>
        <v>79.799999999999983</v>
      </c>
      <c r="T12" s="18"/>
      <c r="U12" s="156"/>
      <c r="V12" s="18"/>
      <c r="W12" s="18">
        <f t="shared" si="7"/>
        <v>28.88</v>
      </c>
    </row>
    <row r="13" spans="1:23" x14ac:dyDescent="0.2">
      <c r="A13" s="14" t="s">
        <v>303</v>
      </c>
      <c r="C13" s="156">
        <v>3.95</v>
      </c>
      <c r="D13" s="156"/>
      <c r="E13" s="156">
        <v>6.75</v>
      </c>
      <c r="F13" s="156"/>
      <c r="G13" s="156">
        <v>3.5</v>
      </c>
      <c r="H13" s="18"/>
      <c r="I13" s="18">
        <f t="shared" si="0"/>
        <v>21.4</v>
      </c>
      <c r="J13" s="18"/>
      <c r="K13" s="18">
        <f t="shared" si="1"/>
        <v>74.899999999999991</v>
      </c>
      <c r="L13" s="18"/>
      <c r="M13" s="18">
        <f t="shared" si="2"/>
        <v>26.662500000000001</v>
      </c>
      <c r="N13" s="18"/>
      <c r="O13" s="18">
        <f t="shared" si="3"/>
        <v>74.899999999999991</v>
      </c>
      <c r="P13" s="18"/>
      <c r="Q13" s="18">
        <f t="shared" si="4"/>
        <v>0</v>
      </c>
      <c r="R13" s="18"/>
      <c r="S13" s="18">
        <f t="shared" si="8"/>
        <v>74.899999999999991</v>
      </c>
      <c r="T13" s="18"/>
      <c r="U13" s="156"/>
      <c r="V13" s="18"/>
      <c r="W13" s="18">
        <f t="shared" si="7"/>
        <v>26.662500000000001</v>
      </c>
    </row>
    <row r="14" spans="1:23" x14ac:dyDescent="0.2">
      <c r="A14" s="14" t="s">
        <v>304</v>
      </c>
      <c r="C14" s="156">
        <v>3.95</v>
      </c>
      <c r="D14" s="156"/>
      <c r="E14" s="156">
        <v>6.75</v>
      </c>
      <c r="F14" s="156"/>
      <c r="G14" s="156">
        <v>3.5</v>
      </c>
      <c r="H14" s="18"/>
      <c r="I14" s="18">
        <f t="shared" si="0"/>
        <v>21.4</v>
      </c>
      <c r="J14" s="18"/>
      <c r="K14" s="18">
        <f t="shared" si="1"/>
        <v>74.899999999999991</v>
      </c>
      <c r="L14" s="18"/>
      <c r="M14" s="18">
        <f t="shared" si="2"/>
        <v>26.662500000000001</v>
      </c>
      <c r="N14" s="18"/>
      <c r="O14" s="18">
        <f t="shared" si="3"/>
        <v>74.899999999999991</v>
      </c>
      <c r="P14" s="18"/>
      <c r="Q14" s="18">
        <f t="shared" si="4"/>
        <v>0</v>
      </c>
      <c r="R14" s="18"/>
      <c r="S14" s="18">
        <f t="shared" si="8"/>
        <v>74.899999999999991</v>
      </c>
      <c r="T14" s="18"/>
      <c r="U14" s="156"/>
      <c r="V14" s="18"/>
      <c r="W14" s="18">
        <f t="shared" si="7"/>
        <v>26.662500000000001</v>
      </c>
    </row>
    <row r="15" spans="1:23" x14ac:dyDescent="0.2">
      <c r="A15" s="14" t="s">
        <v>305</v>
      </c>
      <c r="C15" s="156">
        <v>2.4500000000000002</v>
      </c>
      <c r="D15" s="156"/>
      <c r="E15" s="156">
        <v>2.4500000000000002</v>
      </c>
      <c r="F15" s="156"/>
      <c r="G15" s="156">
        <v>3.5</v>
      </c>
      <c r="H15" s="18"/>
      <c r="I15" s="18">
        <f t="shared" si="0"/>
        <v>9.8000000000000007</v>
      </c>
      <c r="J15" s="18"/>
      <c r="K15" s="18">
        <f t="shared" si="1"/>
        <v>34.300000000000004</v>
      </c>
      <c r="L15" s="18"/>
      <c r="M15" s="18">
        <f t="shared" si="2"/>
        <v>6.0025000000000013</v>
      </c>
      <c r="N15" s="18"/>
      <c r="O15" s="18">
        <f t="shared" si="3"/>
        <v>34.300000000000004</v>
      </c>
      <c r="P15" s="18"/>
      <c r="Q15" s="18">
        <f t="shared" si="4"/>
        <v>0</v>
      </c>
      <c r="R15" s="18"/>
      <c r="S15" s="18">
        <f t="shared" si="8"/>
        <v>34.300000000000004</v>
      </c>
      <c r="T15" s="18"/>
      <c r="U15" s="156"/>
      <c r="V15" s="18"/>
      <c r="W15" s="18">
        <f t="shared" si="7"/>
        <v>6.0025000000000013</v>
      </c>
    </row>
    <row r="16" spans="1:23" x14ac:dyDescent="0.2">
      <c r="A16" s="14" t="s">
        <v>306</v>
      </c>
      <c r="C16" s="156">
        <v>3.65</v>
      </c>
      <c r="D16" s="156"/>
      <c r="E16" s="156">
        <v>4.0999999999999996</v>
      </c>
      <c r="F16" s="156"/>
      <c r="G16" s="156">
        <v>3.5</v>
      </c>
      <c r="H16" s="18"/>
      <c r="I16" s="18">
        <f t="shared" si="0"/>
        <v>15.5</v>
      </c>
      <c r="J16" s="18"/>
      <c r="K16" s="18">
        <f t="shared" si="1"/>
        <v>54.25</v>
      </c>
      <c r="L16" s="18"/>
      <c r="M16" s="18">
        <f t="shared" si="2"/>
        <v>14.964999999999998</v>
      </c>
      <c r="N16" s="18"/>
      <c r="O16" s="18">
        <f t="shared" si="3"/>
        <v>54.25</v>
      </c>
      <c r="P16" s="18"/>
      <c r="Q16" s="18">
        <f t="shared" si="4"/>
        <v>0</v>
      </c>
      <c r="R16" s="18"/>
      <c r="S16" s="18">
        <f t="shared" si="8"/>
        <v>54.25</v>
      </c>
      <c r="T16" s="18"/>
      <c r="U16" s="156"/>
      <c r="V16" s="18"/>
      <c r="W16" s="18">
        <f t="shared" si="7"/>
        <v>14.964999999999998</v>
      </c>
    </row>
    <row r="17" spans="1:23" x14ac:dyDescent="0.2">
      <c r="A17" s="155" t="s">
        <v>5</v>
      </c>
      <c r="C17" s="154">
        <f>SUM(C5:C16)</f>
        <v>36.299999999999997</v>
      </c>
      <c r="D17" s="18"/>
      <c r="E17" s="154">
        <f>SUM(E5:E16)</f>
        <v>48.650000000000006</v>
      </c>
      <c r="F17" s="18"/>
      <c r="G17" s="18"/>
      <c r="H17" s="18"/>
      <c r="I17" s="154">
        <f>SUM(I5:I16)</f>
        <v>169.9</v>
      </c>
      <c r="J17" s="18"/>
      <c r="K17" s="18"/>
      <c r="L17" s="18"/>
      <c r="M17" s="154">
        <f>SUM(M5:M16)</f>
        <v>164.88249999999999</v>
      </c>
      <c r="N17" s="18"/>
      <c r="O17" s="154">
        <f>SUM(O5:O16)</f>
        <v>594.64999999999986</v>
      </c>
      <c r="P17" s="18"/>
      <c r="Q17" s="154">
        <f>SUM(Q5:Q16)</f>
        <v>196.70000000000002</v>
      </c>
      <c r="R17" s="18"/>
      <c r="S17" s="154">
        <f>SUM(S5:S16)</f>
        <v>397.94999999999993</v>
      </c>
      <c r="T17" s="18"/>
      <c r="U17" s="154">
        <f>SUM(U5:U16)</f>
        <v>196.70000000000002</v>
      </c>
      <c r="V17" s="18"/>
      <c r="W17" s="154">
        <f t="shared" si="7"/>
        <v>164.88249999999999</v>
      </c>
    </row>
    <row r="18" spans="1:23" x14ac:dyDescent="0.2">
      <c r="A18" s="14"/>
      <c r="C18" s="18"/>
      <c r="D18" s="18"/>
      <c r="E18" s="18"/>
      <c r="F18" s="18"/>
      <c r="G18" s="18"/>
      <c r="H18" s="18"/>
      <c r="I18" s="18"/>
      <c r="J18" s="18"/>
      <c r="K18" s="18"/>
      <c r="L18" s="18"/>
      <c r="M18" s="18"/>
      <c r="N18" s="18"/>
      <c r="O18" s="18"/>
      <c r="P18" s="18"/>
      <c r="Q18" s="18"/>
      <c r="R18" s="18"/>
      <c r="S18" s="18"/>
      <c r="T18" s="18"/>
      <c r="U18" s="18"/>
      <c r="V18" s="18"/>
      <c r="W18" s="18"/>
    </row>
    <row r="19" spans="1:23" x14ac:dyDescent="0.2">
      <c r="A19" t="s">
        <v>253</v>
      </c>
      <c r="C19" s="18">
        <f>(5.2+26.2)*2+(10.5+1.5+7.75+1.5+1.5+4.1)</f>
        <v>89.65</v>
      </c>
      <c r="D19" s="18"/>
      <c r="E19" s="18"/>
      <c r="F19" s="18"/>
      <c r="G19" s="18">
        <v>3.5</v>
      </c>
      <c r="H19" s="18"/>
      <c r="I19" s="18">
        <f>C19</f>
        <v>89.65</v>
      </c>
      <c r="J19" s="18"/>
      <c r="K19" s="18">
        <f>C19*G19</f>
        <v>313.77500000000003</v>
      </c>
      <c r="L19" s="18"/>
      <c r="M19" s="18"/>
      <c r="N19" s="18"/>
      <c r="O19" s="18">
        <f>K19</f>
        <v>313.77500000000003</v>
      </c>
      <c r="P19" s="18"/>
      <c r="Q19" s="18">
        <v>0</v>
      </c>
      <c r="R19" s="18"/>
      <c r="S19" s="18">
        <f>O19</f>
        <v>313.77500000000003</v>
      </c>
      <c r="T19" s="18"/>
      <c r="U19" s="18"/>
      <c r="V19" s="18"/>
      <c r="W19" s="18"/>
    </row>
    <row r="20" spans="1:23" x14ac:dyDescent="0.2">
      <c r="I20" s="18"/>
      <c r="U20" s="18"/>
    </row>
    <row r="21" spans="1:23" x14ac:dyDescent="0.2">
      <c r="A21" s="14" t="s">
        <v>259</v>
      </c>
      <c r="C21" s="18"/>
      <c r="E21" s="18"/>
      <c r="I21" s="18"/>
      <c r="J21" s="18"/>
      <c r="K21" s="18"/>
      <c r="O21" s="18"/>
      <c r="Q21" s="18"/>
      <c r="S21" s="18"/>
    </row>
    <row r="22" spans="1:23" x14ac:dyDescent="0.2">
      <c r="A22" s="14" t="s">
        <v>261</v>
      </c>
      <c r="C22">
        <v>3.65</v>
      </c>
      <c r="E22">
        <v>16.8</v>
      </c>
      <c r="K22" s="18"/>
      <c r="M22" s="18">
        <f>M5+M6+M7+M10</f>
        <v>20.825000000000003</v>
      </c>
    </row>
    <row r="23" spans="1:23" x14ac:dyDescent="0.2">
      <c r="A23" s="14"/>
      <c r="Q23" s="18"/>
    </row>
    <row r="26" spans="1:23" x14ac:dyDescent="0.2">
      <c r="A26" t="s">
        <v>282</v>
      </c>
    </row>
    <row r="28" spans="1:23" x14ac:dyDescent="0.2">
      <c r="A28" s="14" t="s">
        <v>257</v>
      </c>
      <c r="D28" s="18">
        <f>M17</f>
        <v>164.88249999999999</v>
      </c>
    </row>
    <row r="31" spans="1:23" x14ac:dyDescent="0.2">
      <c r="C31" s="203" t="s">
        <v>272</v>
      </c>
      <c r="D31" s="203"/>
      <c r="E31" s="203"/>
      <c r="G31" s="203" t="s">
        <v>273</v>
      </c>
      <c r="H31" s="203"/>
      <c r="I31" s="203"/>
      <c r="K31" s="203" t="s">
        <v>274</v>
      </c>
      <c r="L31" s="203"/>
      <c r="N31" t="s">
        <v>5</v>
      </c>
    </row>
    <row r="32" spans="1:23" x14ac:dyDescent="0.2">
      <c r="A32" t="s">
        <v>271</v>
      </c>
      <c r="D32" s="18">
        <f>O17</f>
        <v>594.64999999999986</v>
      </c>
      <c r="F32" s="18"/>
      <c r="H32" s="18">
        <f>O19</f>
        <v>313.77500000000003</v>
      </c>
      <c r="K32" s="18">
        <f>W17</f>
        <v>164.88249999999999</v>
      </c>
      <c r="N32" s="18">
        <f>D32+H32+K32</f>
        <v>1073.3074999999999</v>
      </c>
    </row>
    <row r="34" spans="1:18" x14ac:dyDescent="0.2">
      <c r="A34" t="s">
        <v>276</v>
      </c>
      <c r="D34" s="18">
        <f>S17</f>
        <v>397.94999999999993</v>
      </c>
      <c r="H34" s="18">
        <f>S19</f>
        <v>313.77500000000003</v>
      </c>
      <c r="K34" s="18">
        <f>W17</f>
        <v>164.88249999999999</v>
      </c>
      <c r="N34" s="18">
        <f>D34+H34+K34</f>
        <v>876.60749999999985</v>
      </c>
      <c r="P34" s="18"/>
      <c r="R34" s="18"/>
    </row>
    <row r="36" spans="1:18" x14ac:dyDescent="0.2">
      <c r="A36" t="s">
        <v>277</v>
      </c>
      <c r="D36" s="18">
        <f>U17</f>
        <v>196.70000000000002</v>
      </c>
      <c r="H36">
        <v>0</v>
      </c>
      <c r="K36">
        <v>0</v>
      </c>
      <c r="N36" s="18">
        <f>D36+H36+K36</f>
        <v>196.70000000000002</v>
      </c>
    </row>
    <row r="38" spans="1:18" x14ac:dyDescent="0.2">
      <c r="A38" t="s">
        <v>278</v>
      </c>
      <c r="D38" s="18">
        <f>M17</f>
        <v>164.88249999999999</v>
      </c>
      <c r="H38">
        <v>0</v>
      </c>
      <c r="K38">
        <v>0</v>
      </c>
      <c r="N38" s="18">
        <f>D38+H38+K38</f>
        <v>164.88249999999999</v>
      </c>
    </row>
  </sheetData>
  <mergeCells count="4">
    <mergeCell ref="K4:L4"/>
    <mergeCell ref="C31:E31"/>
    <mergeCell ref="G31:I31"/>
    <mergeCell ref="K31:L31"/>
  </mergeCells>
  <phoneticPr fontId="14" type="noConversion"/>
  <pageMargins left="0.511811024" right="0.511811024" top="0.78740157499999996" bottom="0.78740157499999996" header="0.31496062000000002" footer="0.31496062000000002"/>
  <pageSetup paperSize="9" scale="65" fitToHeight="0"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8"/>
  <sheetViews>
    <sheetView workbookViewId="0">
      <selection sqref="A1:IV1"/>
    </sheetView>
  </sheetViews>
  <sheetFormatPr defaultRowHeight="12.75" x14ac:dyDescent="0.2"/>
  <cols>
    <col min="1" max="1" width="10.5703125" style="57" customWidth="1"/>
    <col min="2" max="2" width="10.28515625" style="57" customWidth="1"/>
    <col min="3" max="3" width="51" style="57" customWidth="1"/>
    <col min="4" max="4" width="14.42578125" style="58" customWidth="1"/>
    <col min="5" max="5" width="13.28515625" style="58" customWidth="1"/>
    <col min="6" max="11" width="12.5703125" style="57" customWidth="1"/>
    <col min="12" max="13" width="9.140625" style="57"/>
    <col min="14" max="14" width="13.140625" style="57" bestFit="1" customWidth="1"/>
    <col min="15" max="16384" width="9.140625" style="57"/>
  </cols>
  <sheetData>
    <row r="1" spans="1:11" ht="4.5" customHeight="1" thickBot="1" x14ac:dyDescent="0.25">
      <c r="F1" s="58"/>
      <c r="G1" s="58"/>
      <c r="H1" s="58"/>
    </row>
    <row r="2" spans="1:11" ht="18" customHeight="1" thickBot="1" x14ac:dyDescent="0.25">
      <c r="A2" s="207" t="s">
        <v>178</v>
      </c>
      <c r="B2" s="208"/>
      <c r="C2" s="208"/>
      <c r="D2" s="208"/>
      <c r="E2" s="208"/>
      <c r="F2" s="208"/>
      <c r="G2" s="208"/>
      <c r="H2" s="208"/>
      <c r="I2" s="208"/>
      <c r="J2" s="208"/>
      <c r="K2" s="209"/>
    </row>
    <row r="3" spans="1:11" ht="18" customHeight="1" x14ac:dyDescent="0.2">
      <c r="A3" s="210" t="s">
        <v>194</v>
      </c>
      <c r="B3" s="211"/>
      <c r="C3" s="212"/>
      <c r="D3" s="213" t="s">
        <v>179</v>
      </c>
      <c r="E3" s="214"/>
      <c r="F3" s="215">
        <f>'Planilha de quantitativos'!G121</f>
        <v>679552.56807989592</v>
      </c>
      <c r="G3" s="215"/>
      <c r="H3" s="59"/>
      <c r="I3" s="216" t="s">
        <v>297</v>
      </c>
      <c r="J3" s="216"/>
      <c r="K3" s="217"/>
    </row>
    <row r="4" spans="1:11" ht="18" customHeight="1" thickBot="1" x14ac:dyDescent="0.25">
      <c r="A4" s="218" t="s">
        <v>296</v>
      </c>
      <c r="B4" s="219"/>
      <c r="C4" s="220"/>
      <c r="D4" s="219" t="s">
        <v>237</v>
      </c>
      <c r="E4" s="219"/>
      <c r="F4" s="219"/>
      <c r="G4" s="219"/>
      <c r="H4" s="219"/>
      <c r="I4" s="221" t="s">
        <v>238</v>
      </c>
      <c r="J4" s="219"/>
      <c r="K4" s="222"/>
    </row>
    <row r="5" spans="1:11" ht="36" customHeight="1" thickBot="1" x14ac:dyDescent="0.25">
      <c r="A5" s="60" t="s">
        <v>0</v>
      </c>
      <c r="B5" s="61" t="s">
        <v>25</v>
      </c>
      <c r="C5" s="62" t="s">
        <v>180</v>
      </c>
      <c r="D5" s="63" t="s">
        <v>181</v>
      </c>
      <c r="E5" s="63" t="s">
        <v>182</v>
      </c>
      <c r="F5" s="61" t="s">
        <v>183</v>
      </c>
      <c r="G5" s="61" t="s">
        <v>184</v>
      </c>
      <c r="H5" s="61" t="s">
        <v>185</v>
      </c>
      <c r="I5" s="61" t="s">
        <v>186</v>
      </c>
      <c r="J5" s="61" t="s">
        <v>5</v>
      </c>
      <c r="K5" s="64"/>
    </row>
    <row r="6" spans="1:11" ht="14.25" customHeight="1" x14ac:dyDescent="0.2">
      <c r="A6" s="204">
        <v>1</v>
      </c>
      <c r="B6" s="223"/>
      <c r="C6" s="225" t="str">
        <f>'Planilha de quantitativos'!C8</f>
        <v>Serviços Preliminares</v>
      </c>
      <c r="D6" s="65" t="s">
        <v>187</v>
      </c>
      <c r="E6" s="108">
        <f>E7/$E$51</f>
        <v>3.9157967926554051E-2</v>
      </c>
      <c r="F6" s="108">
        <v>1</v>
      </c>
      <c r="G6" s="108"/>
      <c r="H6" s="108"/>
      <c r="I6" s="109"/>
      <c r="J6" s="119">
        <f>F6+G6+H6+I6</f>
        <v>1</v>
      </c>
      <c r="K6" s="68"/>
    </row>
    <row r="7" spans="1:11" ht="14.25" customHeight="1" thickBot="1" x14ac:dyDescent="0.25">
      <c r="A7" s="205"/>
      <c r="B7" s="224"/>
      <c r="C7" s="226"/>
      <c r="D7" s="66" t="s">
        <v>188</v>
      </c>
      <c r="E7" s="117">
        <f>'Planilha de quantitativos'!G8</f>
        <v>26609.897665280001</v>
      </c>
      <c r="F7" s="117">
        <f>F6*$E$7</f>
        <v>26609.897665280001</v>
      </c>
      <c r="G7" s="117"/>
      <c r="H7" s="117"/>
      <c r="I7" s="117"/>
      <c r="J7" s="120">
        <f>F7+G7+H7+I7</f>
        <v>26609.897665280001</v>
      </c>
      <c r="K7" s="110"/>
    </row>
    <row r="8" spans="1:11" ht="14.25" customHeight="1" x14ac:dyDescent="0.2">
      <c r="A8" s="204">
        <v>2</v>
      </c>
      <c r="B8" s="224"/>
      <c r="C8" s="226" t="str">
        <f>'Planilha de quantitativos'!C16</f>
        <v>Locação da obra</v>
      </c>
      <c r="D8" s="66" t="s">
        <v>187</v>
      </c>
      <c r="E8" s="108">
        <f>E9/$E$51</f>
        <v>1.0427572541182538E-2</v>
      </c>
      <c r="F8" s="108">
        <v>1</v>
      </c>
      <c r="G8" s="108"/>
      <c r="H8" s="108"/>
      <c r="I8" s="109"/>
      <c r="J8" s="119">
        <f t="shared" ref="J8:J17" si="0">F8+G8+H8+I8</f>
        <v>1</v>
      </c>
      <c r="K8" s="110"/>
    </row>
    <row r="9" spans="1:11" ht="14.25" customHeight="1" thickBot="1" x14ac:dyDescent="0.25">
      <c r="A9" s="205"/>
      <c r="B9" s="224"/>
      <c r="C9" s="226"/>
      <c r="D9" s="66" t="s">
        <v>188</v>
      </c>
      <c r="E9" s="117">
        <f>'Planilha de quantitativos'!G16</f>
        <v>7086.0836991999995</v>
      </c>
      <c r="F9" s="117">
        <f>F8*$E$9</f>
        <v>7086.0836991999995</v>
      </c>
      <c r="G9" s="117"/>
      <c r="H9" s="117"/>
      <c r="I9" s="117"/>
      <c r="J9" s="120">
        <f>F9+G9+H9+I9</f>
        <v>7086.0836991999995</v>
      </c>
      <c r="K9" s="111"/>
    </row>
    <row r="10" spans="1:11" ht="14.25" customHeight="1" x14ac:dyDescent="0.2">
      <c r="A10" s="204">
        <v>3</v>
      </c>
      <c r="B10" s="224"/>
      <c r="C10" s="226" t="str">
        <f>'Planilha de quantitativos'!C19</f>
        <v>Trabalhos em terra</v>
      </c>
      <c r="D10" s="66" t="s">
        <v>187</v>
      </c>
      <c r="E10" s="108">
        <f>E11/$E$51</f>
        <v>8.5282870925603299E-3</v>
      </c>
      <c r="F10" s="108">
        <v>1</v>
      </c>
      <c r="G10" s="108"/>
      <c r="H10" s="108"/>
      <c r="I10" s="109"/>
      <c r="J10" s="119">
        <f t="shared" si="0"/>
        <v>1</v>
      </c>
      <c r="K10" s="110"/>
    </row>
    <row r="11" spans="1:11" ht="14.25" customHeight="1" thickBot="1" x14ac:dyDescent="0.25">
      <c r="A11" s="205"/>
      <c r="B11" s="224"/>
      <c r="C11" s="226"/>
      <c r="D11" s="66" t="s">
        <v>188</v>
      </c>
      <c r="E11" s="117">
        <f>'Planilha de quantitativos'!G19</f>
        <v>5795.419395072001</v>
      </c>
      <c r="F11" s="117">
        <f>F10*$E$11</f>
        <v>5795.419395072001</v>
      </c>
      <c r="G11" s="117"/>
      <c r="H11" s="117"/>
      <c r="I11" s="117"/>
      <c r="J11" s="120">
        <f>F11+G11+H11+I11</f>
        <v>5795.419395072001</v>
      </c>
      <c r="K11" s="111"/>
    </row>
    <row r="12" spans="1:11" ht="14.25" customHeight="1" x14ac:dyDescent="0.2">
      <c r="A12" s="204">
        <v>4</v>
      </c>
      <c r="B12" s="224"/>
      <c r="C12" s="226" t="str">
        <f>'Planilha de quantitativos'!C23</f>
        <v>Muro de arrimo - substituindo portão existe na rampa de acesso</v>
      </c>
      <c r="D12" s="66" t="s">
        <v>187</v>
      </c>
      <c r="E12" s="108">
        <f>E13/$E$51</f>
        <v>1.9207215540213252E-2</v>
      </c>
      <c r="F12" s="108">
        <v>1</v>
      </c>
      <c r="G12" s="108"/>
      <c r="H12" s="108"/>
      <c r="I12" s="109"/>
      <c r="J12" s="119">
        <f t="shared" si="0"/>
        <v>1</v>
      </c>
      <c r="K12" s="110"/>
    </row>
    <row r="13" spans="1:11" ht="14.25" customHeight="1" thickBot="1" x14ac:dyDescent="0.25">
      <c r="A13" s="205"/>
      <c r="B13" s="224"/>
      <c r="C13" s="226"/>
      <c r="D13" s="66" t="s">
        <v>188</v>
      </c>
      <c r="E13" s="117">
        <f>'Planilha de quantitativos'!G23</f>
        <v>13052.312646016</v>
      </c>
      <c r="F13" s="117">
        <f>F12*$E$13</f>
        <v>13052.312646016</v>
      </c>
      <c r="G13" s="117"/>
      <c r="H13" s="117"/>
      <c r="I13" s="117"/>
      <c r="J13" s="120">
        <f t="shared" si="0"/>
        <v>13052.312646016</v>
      </c>
      <c r="K13" s="111"/>
    </row>
    <row r="14" spans="1:11" ht="14.25" customHeight="1" x14ac:dyDescent="0.2">
      <c r="A14" s="204">
        <v>5</v>
      </c>
      <c r="B14" s="206"/>
      <c r="C14" s="227" t="str">
        <f>'Planilha de quantitativos'!C34</f>
        <v>Fundação</v>
      </c>
      <c r="D14" s="66" t="s">
        <v>187</v>
      </c>
      <c r="E14" s="108">
        <f>E15/$E$51</f>
        <v>0.11062026292212013</v>
      </c>
      <c r="F14" s="116"/>
      <c r="G14" s="116">
        <v>0.35</v>
      </c>
      <c r="H14" s="116">
        <v>0.65</v>
      </c>
      <c r="I14" s="109"/>
      <c r="J14" s="119">
        <f>F14+G14+H14+I14</f>
        <v>1</v>
      </c>
      <c r="K14" s="68"/>
    </row>
    <row r="15" spans="1:11" ht="14.25" customHeight="1" thickBot="1" x14ac:dyDescent="0.25">
      <c r="A15" s="205"/>
      <c r="B15" s="206"/>
      <c r="C15" s="227"/>
      <c r="D15" s="66" t="s">
        <v>188</v>
      </c>
      <c r="E15" s="117">
        <f>'Planilha de quantitativos'!G34</f>
        <v>75172.28375040002</v>
      </c>
      <c r="F15" s="118"/>
      <c r="G15" s="118">
        <f>G14*$E$15</f>
        <v>26310.299312640007</v>
      </c>
      <c r="H15" s="118">
        <f>H14*$E$15</f>
        <v>48861.984437760017</v>
      </c>
      <c r="I15" s="118"/>
      <c r="J15" s="120">
        <f>F15+G15+H15+I15</f>
        <v>75172.28375040002</v>
      </c>
      <c r="K15" s="70"/>
    </row>
    <row r="16" spans="1:11" ht="14.25" customHeight="1" x14ac:dyDescent="0.2">
      <c r="A16" s="204">
        <v>6</v>
      </c>
      <c r="B16" s="206"/>
      <c r="C16" s="227" t="str">
        <f>'Planilha de quantitativos'!C39</f>
        <v>Estrutura de Concreto</v>
      </c>
      <c r="D16" s="66" t="s">
        <v>187</v>
      </c>
      <c r="E16" s="108">
        <f>E17/$E$51</f>
        <v>7.0148161042333734E-2</v>
      </c>
      <c r="F16" s="116"/>
      <c r="G16" s="116">
        <v>0.2</v>
      </c>
      <c r="H16" s="116">
        <v>0.8</v>
      </c>
      <c r="I16" s="109"/>
      <c r="J16" s="119">
        <f>F16+G16+H16+I16</f>
        <v>1</v>
      </c>
      <c r="K16" s="68"/>
    </row>
    <row r="17" spans="1:12" ht="14.25" customHeight="1" thickBot="1" x14ac:dyDescent="0.25">
      <c r="A17" s="205"/>
      <c r="B17" s="206"/>
      <c r="C17" s="227"/>
      <c r="D17" s="66" t="s">
        <v>188</v>
      </c>
      <c r="E17" s="117">
        <f>'Planilha de quantitativos'!G39</f>
        <v>47669.362982400002</v>
      </c>
      <c r="F17" s="118"/>
      <c r="G17" s="118">
        <f>G16*$E$17</f>
        <v>9533.8725964800014</v>
      </c>
      <c r="H17" s="118">
        <f>H16*$E$17</f>
        <v>38135.490385920006</v>
      </c>
      <c r="I17" s="118"/>
      <c r="J17" s="120">
        <f t="shared" si="0"/>
        <v>47669.362982400009</v>
      </c>
      <c r="K17" s="70"/>
    </row>
    <row r="18" spans="1:12" ht="14.25" customHeight="1" x14ac:dyDescent="0.2">
      <c r="A18" s="204">
        <v>7</v>
      </c>
      <c r="B18" s="206"/>
      <c r="C18" s="227" t="str">
        <f>'Planilha de quantitativos'!C44</f>
        <v>Laje</v>
      </c>
      <c r="D18" s="66" t="s">
        <v>187</v>
      </c>
      <c r="E18" s="108">
        <f>E19/$E$51</f>
        <v>4.533475365911345E-2</v>
      </c>
      <c r="F18" s="116"/>
      <c r="G18" s="116">
        <v>0</v>
      </c>
      <c r="H18" s="116">
        <v>1</v>
      </c>
      <c r="I18" s="109"/>
      <c r="J18" s="119">
        <f t="shared" ref="J18:J47" si="1">F18+G18+H18+I18</f>
        <v>1</v>
      </c>
      <c r="K18" s="68"/>
      <c r="L18" s="71"/>
    </row>
    <row r="19" spans="1:12" ht="14.25" customHeight="1" thickBot="1" x14ac:dyDescent="0.25">
      <c r="A19" s="205"/>
      <c r="B19" s="206"/>
      <c r="C19" s="206"/>
      <c r="D19" s="66" t="s">
        <v>188</v>
      </c>
      <c r="E19" s="117">
        <f>'Planilha de quantitativos'!G44</f>
        <v>30807.348272320003</v>
      </c>
      <c r="F19" s="118"/>
      <c r="G19" s="118">
        <f>G18*$E$19</f>
        <v>0</v>
      </c>
      <c r="H19" s="118">
        <f>H18*$E$19</f>
        <v>30807.348272320003</v>
      </c>
      <c r="I19" s="118"/>
      <c r="J19" s="120">
        <f t="shared" si="1"/>
        <v>30807.348272320003</v>
      </c>
      <c r="K19" s="70"/>
    </row>
    <row r="20" spans="1:12" ht="14.25" customHeight="1" x14ac:dyDescent="0.2">
      <c r="A20" s="204">
        <v>8</v>
      </c>
      <c r="B20" s="206"/>
      <c r="C20" s="206" t="str">
        <f>'Planilha de quantitativos'!C48</f>
        <v>Coberturas</v>
      </c>
      <c r="D20" s="66" t="s">
        <v>187</v>
      </c>
      <c r="E20" s="108">
        <f>E21/$E$51</f>
        <v>9.1256523948429827E-2</v>
      </c>
      <c r="F20" s="116"/>
      <c r="G20" s="116">
        <v>0.2</v>
      </c>
      <c r="H20" s="116"/>
      <c r="I20" s="109">
        <v>0.8</v>
      </c>
      <c r="J20" s="119">
        <f t="shared" si="1"/>
        <v>1</v>
      </c>
      <c r="K20" s="68"/>
    </row>
    <row r="21" spans="1:12" ht="14.25" customHeight="1" thickBot="1" x14ac:dyDescent="0.25">
      <c r="A21" s="205"/>
      <c r="B21" s="206"/>
      <c r="C21" s="206"/>
      <c r="D21" s="66" t="s">
        <v>188</v>
      </c>
      <c r="E21" s="117">
        <f>'Planilha de quantitativos'!G48</f>
        <v>62013.605203200008</v>
      </c>
      <c r="F21" s="118"/>
      <c r="G21" s="118">
        <f>G20*$E$21</f>
        <v>12402.721040640003</v>
      </c>
      <c r="H21" s="118"/>
      <c r="I21" s="118">
        <f>I20*$E$21</f>
        <v>49610.884162560011</v>
      </c>
      <c r="J21" s="120">
        <f t="shared" si="1"/>
        <v>62013.605203200015</v>
      </c>
      <c r="K21" s="70"/>
    </row>
    <row r="22" spans="1:12" ht="14.25" customHeight="1" x14ac:dyDescent="0.2">
      <c r="A22" s="204">
        <v>9</v>
      </c>
      <c r="B22" s="206"/>
      <c r="C22" s="206" t="str">
        <f>'Planilha de quantitativos'!C52</f>
        <v>Águas Pluviais</v>
      </c>
      <c r="D22" s="66" t="s">
        <v>187</v>
      </c>
      <c r="E22" s="108">
        <f>E23/$E$51</f>
        <v>1.2417312241557019E-2</v>
      </c>
      <c r="F22" s="116"/>
      <c r="G22" s="116">
        <v>0.2</v>
      </c>
      <c r="H22" s="116">
        <v>0.5</v>
      </c>
      <c r="I22" s="109">
        <v>0.3</v>
      </c>
      <c r="J22" s="119">
        <f t="shared" si="1"/>
        <v>1</v>
      </c>
      <c r="K22" s="68"/>
    </row>
    <row r="23" spans="1:12" ht="14.25" customHeight="1" thickBot="1" x14ac:dyDescent="0.25">
      <c r="A23" s="205"/>
      <c r="B23" s="206"/>
      <c r="C23" s="206"/>
      <c r="D23" s="66" t="s">
        <v>188</v>
      </c>
      <c r="E23" s="117">
        <f>'Planilha de quantitativos'!G52</f>
        <v>8438.2164224000007</v>
      </c>
      <c r="F23" s="118"/>
      <c r="G23" s="118">
        <f>G22*$E$23</f>
        <v>1687.6432844800001</v>
      </c>
      <c r="H23" s="118">
        <f>H22*$E$23</f>
        <v>4219.1082112000004</v>
      </c>
      <c r="I23" s="118">
        <f>I22*$E$23</f>
        <v>2531.4649267200002</v>
      </c>
      <c r="J23" s="120">
        <f t="shared" si="1"/>
        <v>8438.2164224000007</v>
      </c>
      <c r="K23" s="70"/>
    </row>
    <row r="24" spans="1:12" ht="14.25" customHeight="1" x14ac:dyDescent="0.2">
      <c r="A24" s="204">
        <v>10</v>
      </c>
      <c r="B24" s="206"/>
      <c r="C24" s="206" t="str">
        <f>'Planilha de quantitativos'!C57</f>
        <v>Pisos</v>
      </c>
      <c r="D24" s="66" t="s">
        <v>187</v>
      </c>
      <c r="E24" s="108">
        <f>E25/$E$51</f>
        <v>5.9740200986168605E-2</v>
      </c>
      <c r="F24" s="116"/>
      <c r="G24" s="116">
        <v>0.2</v>
      </c>
      <c r="H24" s="116">
        <v>0.7</v>
      </c>
      <c r="I24" s="109">
        <v>0.1</v>
      </c>
      <c r="J24" s="119">
        <f t="shared" si="1"/>
        <v>0.99999999999999989</v>
      </c>
      <c r="K24" s="68"/>
    </row>
    <row r="25" spans="1:12" ht="14.25" customHeight="1" thickBot="1" x14ac:dyDescent="0.25">
      <c r="A25" s="205"/>
      <c r="B25" s="206"/>
      <c r="C25" s="206"/>
      <c r="D25" s="66" t="s">
        <v>188</v>
      </c>
      <c r="E25" s="117">
        <f>'Planilha de quantitativos'!G57</f>
        <v>40596.606997760005</v>
      </c>
      <c r="F25" s="118"/>
      <c r="G25" s="118">
        <f>G24*$E$25</f>
        <v>8119.3213995520018</v>
      </c>
      <c r="H25" s="118">
        <f>H24*$E$25</f>
        <v>28417.624898432001</v>
      </c>
      <c r="I25" s="118">
        <f>I24*$E$25</f>
        <v>4059.6606997760009</v>
      </c>
      <c r="J25" s="120">
        <f t="shared" si="1"/>
        <v>40596.606997760005</v>
      </c>
      <c r="K25" s="70"/>
    </row>
    <row r="26" spans="1:12" ht="14.25" customHeight="1" x14ac:dyDescent="0.2">
      <c r="A26" s="204">
        <v>11</v>
      </c>
      <c r="B26" s="206"/>
      <c r="C26" s="206" t="str">
        <f>'Planilha de quantitativos'!C63</f>
        <v>Alvenaria e divisões</v>
      </c>
      <c r="D26" s="66" t="s">
        <v>187</v>
      </c>
      <c r="E26" s="108">
        <f>E27/$E$51</f>
        <v>5.191068653492683E-2</v>
      </c>
      <c r="F26" s="116"/>
      <c r="G26" s="116">
        <v>0.5</v>
      </c>
      <c r="H26" s="116">
        <v>0.5</v>
      </c>
      <c r="I26" s="109"/>
      <c r="J26" s="119">
        <f t="shared" si="1"/>
        <v>1</v>
      </c>
      <c r="K26" s="68"/>
    </row>
    <row r="27" spans="1:12" ht="14.25" customHeight="1" thickBot="1" x14ac:dyDescent="0.25">
      <c r="A27" s="205"/>
      <c r="B27" s="206"/>
      <c r="C27" s="206"/>
      <c r="D27" s="66" t="s">
        <v>188</v>
      </c>
      <c r="E27" s="117">
        <f>'Planilha de quantitativos'!G63</f>
        <v>35276.040345599999</v>
      </c>
      <c r="F27" s="118"/>
      <c r="G27" s="118">
        <f>G26*$E$27</f>
        <v>17638.020172799999</v>
      </c>
      <c r="H27" s="118">
        <f>H26*$E$27</f>
        <v>17638.020172799999</v>
      </c>
      <c r="I27" s="118">
        <f>I26*$E$27</f>
        <v>0</v>
      </c>
      <c r="J27" s="120">
        <f t="shared" si="1"/>
        <v>35276.040345599999</v>
      </c>
      <c r="K27" s="70"/>
    </row>
    <row r="28" spans="1:12" ht="14.25" customHeight="1" x14ac:dyDescent="0.2">
      <c r="A28" s="204">
        <v>12</v>
      </c>
      <c r="B28" s="206"/>
      <c r="C28" s="206" t="str">
        <f>'Planilha de quantitativos'!C66</f>
        <v>Cintamentos e vergas</v>
      </c>
      <c r="D28" s="66" t="s">
        <v>187</v>
      </c>
      <c r="E28" s="108">
        <f>E29/$E$51</f>
        <v>4.0138741605345654E-2</v>
      </c>
      <c r="F28" s="116"/>
      <c r="G28" s="116"/>
      <c r="H28" s="116">
        <v>0.5</v>
      </c>
      <c r="I28" s="109">
        <v>0.5</v>
      </c>
      <c r="J28" s="119">
        <f t="shared" si="1"/>
        <v>1</v>
      </c>
      <c r="K28" s="68"/>
    </row>
    <row r="29" spans="1:12" ht="14.25" customHeight="1" thickBot="1" x14ac:dyDescent="0.25">
      <c r="A29" s="205"/>
      <c r="B29" s="206"/>
      <c r="C29" s="206"/>
      <c r="D29" s="66" t="s">
        <v>188</v>
      </c>
      <c r="E29" s="117">
        <f>'Planilha de quantitativos'!G66</f>
        <v>27276.384937408005</v>
      </c>
      <c r="F29" s="118"/>
      <c r="G29" s="118">
        <f>G28*$E$29</f>
        <v>0</v>
      </c>
      <c r="H29" s="118">
        <f>H28*$E$29</f>
        <v>13638.192468704003</v>
      </c>
      <c r="I29" s="118">
        <f>I28*$E$29</f>
        <v>13638.192468704003</v>
      </c>
      <c r="J29" s="120">
        <f t="shared" si="1"/>
        <v>27276.384937408005</v>
      </c>
      <c r="K29" s="70"/>
    </row>
    <row r="30" spans="1:12" ht="14.25" customHeight="1" x14ac:dyDescent="0.2">
      <c r="A30" s="204">
        <v>13</v>
      </c>
      <c r="B30" s="206"/>
      <c r="C30" s="206" t="str">
        <f>'Planilha de quantitativos'!C69</f>
        <v>Esquadrias</v>
      </c>
      <c r="D30" s="66" t="s">
        <v>187</v>
      </c>
      <c r="E30" s="108">
        <f>E31/$E$51</f>
        <v>3.7074692307009112E-2</v>
      </c>
      <c r="F30" s="116"/>
      <c r="G30" s="116"/>
      <c r="H30" s="116">
        <v>0.25</v>
      </c>
      <c r="I30" s="109">
        <v>0.75</v>
      </c>
      <c r="J30" s="119">
        <f t="shared" si="1"/>
        <v>1</v>
      </c>
      <c r="K30" s="68"/>
    </row>
    <row r="31" spans="1:12" ht="14.25" customHeight="1" thickBot="1" x14ac:dyDescent="0.25">
      <c r="A31" s="205"/>
      <c r="B31" s="206"/>
      <c r="C31" s="206"/>
      <c r="D31" s="66" t="s">
        <v>188</v>
      </c>
      <c r="E31" s="117">
        <f>'Planilha de quantitativos'!G69</f>
        <v>25194.202368000002</v>
      </c>
      <c r="F31" s="118"/>
      <c r="G31" s="118"/>
      <c r="H31" s="118">
        <f>H30*$E$31</f>
        <v>6298.5505920000005</v>
      </c>
      <c r="I31" s="118">
        <f>I30*$E$31</f>
        <v>18895.651776000002</v>
      </c>
      <c r="J31" s="120">
        <f t="shared" si="1"/>
        <v>25194.202368000002</v>
      </c>
      <c r="K31" s="70"/>
    </row>
    <row r="32" spans="1:12" ht="14.25" customHeight="1" x14ac:dyDescent="0.2">
      <c r="A32" s="204">
        <v>14</v>
      </c>
      <c r="B32" s="206"/>
      <c r="C32" s="206" t="str">
        <f>'Planilha de quantitativos'!C73</f>
        <v>Revestimentos</v>
      </c>
      <c r="D32" s="66" t="s">
        <v>187</v>
      </c>
      <c r="E32" s="108">
        <f>E33/$E$51</f>
        <v>0.12810438329263291</v>
      </c>
      <c r="F32" s="116"/>
      <c r="G32" s="116"/>
      <c r="H32" s="116">
        <v>0.5</v>
      </c>
      <c r="I32" s="109">
        <v>0.5</v>
      </c>
      <c r="J32" s="119">
        <f t="shared" si="1"/>
        <v>1</v>
      </c>
      <c r="K32" s="68"/>
    </row>
    <row r="33" spans="1:11" ht="14.25" customHeight="1" thickBot="1" x14ac:dyDescent="0.25">
      <c r="A33" s="205"/>
      <c r="B33" s="206"/>
      <c r="C33" s="206"/>
      <c r="D33" s="66" t="s">
        <v>188</v>
      </c>
      <c r="E33" s="117">
        <f>'Planilha de quantitativos'!G73</f>
        <v>87053.662648800004</v>
      </c>
      <c r="F33" s="118"/>
      <c r="G33" s="118"/>
      <c r="H33" s="118">
        <f>H32*$E$33</f>
        <v>43526.831324400002</v>
      </c>
      <c r="I33" s="118">
        <f>I32*$E$33</f>
        <v>43526.831324400002</v>
      </c>
      <c r="J33" s="120">
        <f t="shared" si="1"/>
        <v>87053.662648800004</v>
      </c>
      <c r="K33" s="70"/>
    </row>
    <row r="34" spans="1:11" ht="14.25" customHeight="1" x14ac:dyDescent="0.2">
      <c r="A34" s="204">
        <v>15</v>
      </c>
      <c r="B34" s="206"/>
      <c r="C34" s="206" t="str">
        <f>'Planilha de quantitativos'!C79</f>
        <v>Pintura</v>
      </c>
      <c r="D34" s="66" t="s">
        <v>187</v>
      </c>
      <c r="E34" s="108">
        <f>E35/$E$51</f>
        <v>4.0282410755339226E-2</v>
      </c>
      <c r="F34" s="116">
        <v>0.1</v>
      </c>
      <c r="G34" s="116">
        <v>0.3</v>
      </c>
      <c r="H34" s="116">
        <v>0.2</v>
      </c>
      <c r="I34" s="109">
        <v>0.4</v>
      </c>
      <c r="J34" s="119">
        <f t="shared" si="1"/>
        <v>1</v>
      </c>
      <c r="K34" s="68"/>
    </row>
    <row r="35" spans="1:11" ht="14.25" customHeight="1" thickBot="1" x14ac:dyDescent="0.25">
      <c r="A35" s="205"/>
      <c r="B35" s="206"/>
      <c r="C35" s="206"/>
      <c r="D35" s="66" t="s">
        <v>188</v>
      </c>
      <c r="E35" s="117">
        <f>'Planilha de quantitativos'!G79</f>
        <v>27374.015677239993</v>
      </c>
      <c r="F35" s="118">
        <f>F34*$E$35</f>
        <v>2737.4015677239995</v>
      </c>
      <c r="G35" s="118">
        <f>G34*$E$35</f>
        <v>8212.2047031719976</v>
      </c>
      <c r="H35" s="118">
        <f>H34*$E$35</f>
        <v>5474.803135447999</v>
      </c>
      <c r="I35" s="118">
        <f>I34*$E$35</f>
        <v>10949.606270895998</v>
      </c>
      <c r="J35" s="121">
        <f t="shared" si="1"/>
        <v>27374.015677239997</v>
      </c>
      <c r="K35" s="70"/>
    </row>
    <row r="36" spans="1:11" ht="14.25" customHeight="1" x14ac:dyDescent="0.2">
      <c r="A36" s="204">
        <v>16</v>
      </c>
      <c r="B36" s="206"/>
      <c r="C36" s="206" t="str">
        <f>'Planilha de quantitativos'!C85</f>
        <v>Instalações Hidro-sanitárias</v>
      </c>
      <c r="D36" s="66" t="s">
        <v>187</v>
      </c>
      <c r="E36" s="108">
        <f>E37/$E$51</f>
        <v>4.1149747103468096E-2</v>
      </c>
      <c r="F36" s="116"/>
      <c r="G36" s="116"/>
      <c r="H36" s="116">
        <v>0.5</v>
      </c>
      <c r="I36" s="109">
        <v>0.5</v>
      </c>
      <c r="J36" s="119">
        <f t="shared" si="1"/>
        <v>1</v>
      </c>
      <c r="K36" s="68"/>
    </row>
    <row r="37" spans="1:11" ht="14.25" customHeight="1" thickBot="1" x14ac:dyDescent="0.25">
      <c r="A37" s="205"/>
      <c r="B37" s="206"/>
      <c r="C37" s="206"/>
      <c r="D37" s="66" t="s">
        <v>188</v>
      </c>
      <c r="E37" s="117">
        <f>'Planilha de quantitativos'!G85</f>
        <v>27963.416320000004</v>
      </c>
      <c r="F37" s="118"/>
      <c r="G37" s="118"/>
      <c r="H37" s="118">
        <f>H36*$E$37</f>
        <v>13981.708160000002</v>
      </c>
      <c r="I37" s="118">
        <f>I36*$E$37</f>
        <v>13981.708160000002</v>
      </c>
      <c r="J37" s="120">
        <f t="shared" si="1"/>
        <v>27963.416320000004</v>
      </c>
      <c r="K37" s="70"/>
    </row>
    <row r="38" spans="1:11" ht="14.25" customHeight="1" x14ac:dyDescent="0.2">
      <c r="A38" s="204">
        <v>17</v>
      </c>
      <c r="B38" s="206"/>
      <c r="C38" s="206" t="str">
        <f>'Planilha de quantitativos'!C101</f>
        <v>Divisórias e bancadas</v>
      </c>
      <c r="D38" s="66" t="s">
        <v>187</v>
      </c>
      <c r="E38" s="108">
        <f>E39/$E$51</f>
        <v>1.8175113229721297E-2</v>
      </c>
      <c r="F38" s="116"/>
      <c r="G38" s="116"/>
      <c r="H38" s="116">
        <v>0.3</v>
      </c>
      <c r="I38" s="109">
        <v>0.7</v>
      </c>
      <c r="J38" s="119">
        <f t="shared" si="1"/>
        <v>1</v>
      </c>
      <c r="K38" s="68"/>
    </row>
    <row r="39" spans="1:11" ht="14.25" customHeight="1" thickBot="1" x14ac:dyDescent="0.25">
      <c r="A39" s="205"/>
      <c r="B39" s="206"/>
      <c r="C39" s="206"/>
      <c r="D39" s="66" t="s">
        <v>188</v>
      </c>
      <c r="E39" s="117">
        <f>'Planilha de quantitativos'!G101</f>
        <v>12350.944870399999</v>
      </c>
      <c r="F39" s="118"/>
      <c r="G39" s="118"/>
      <c r="H39" s="118">
        <f>H38*$E$39</f>
        <v>3705.2834611199996</v>
      </c>
      <c r="I39" s="118">
        <f>I38*$E$39</f>
        <v>8645.6614092799991</v>
      </c>
      <c r="J39" s="120">
        <f t="shared" si="1"/>
        <v>12350.944870399999</v>
      </c>
      <c r="K39" s="70"/>
    </row>
    <row r="40" spans="1:11" ht="14.25" customHeight="1" x14ac:dyDescent="0.2">
      <c r="A40" s="204">
        <v>18</v>
      </c>
      <c r="B40" s="206"/>
      <c r="C40" s="206" t="str">
        <f>'Planilha de quantitativos'!C105</f>
        <v>Vidros e espelhos</v>
      </c>
      <c r="D40" s="66" t="s">
        <v>187</v>
      </c>
      <c r="E40" s="108">
        <f>E41/$E$51</f>
        <v>5.0504313591181833E-3</v>
      </c>
      <c r="F40" s="116"/>
      <c r="G40" s="116">
        <v>0.1</v>
      </c>
      <c r="H40" s="116">
        <v>0.25</v>
      </c>
      <c r="I40" s="109">
        <v>0.65</v>
      </c>
      <c r="J40" s="119">
        <f t="shared" si="1"/>
        <v>1</v>
      </c>
      <c r="K40" s="68"/>
    </row>
    <row r="41" spans="1:11" ht="14.25" customHeight="1" thickBot="1" x14ac:dyDescent="0.25">
      <c r="A41" s="205"/>
      <c r="B41" s="206"/>
      <c r="C41" s="206"/>
      <c r="D41" s="66" t="s">
        <v>188</v>
      </c>
      <c r="E41" s="117">
        <f>'Planilha de quantitativos'!G105</f>
        <v>3432.0336000000007</v>
      </c>
      <c r="F41" s="118"/>
      <c r="G41" s="118">
        <f>G40*$E$41</f>
        <v>343.20336000000009</v>
      </c>
      <c r="H41" s="118">
        <f>H40*$E$41</f>
        <v>858.00840000000017</v>
      </c>
      <c r="I41" s="118">
        <f>I40*$E$41</f>
        <v>2230.8218400000005</v>
      </c>
      <c r="J41" s="120">
        <f t="shared" si="1"/>
        <v>3432.0336000000007</v>
      </c>
      <c r="K41" s="70"/>
    </row>
    <row r="42" spans="1:11" ht="14.25" customHeight="1" x14ac:dyDescent="0.2">
      <c r="A42" s="204">
        <v>19</v>
      </c>
      <c r="B42" s="206"/>
      <c r="C42" s="206" t="str">
        <f>'Planilha de quantitativos'!C108</f>
        <v>Instalações Elétricas</v>
      </c>
      <c r="D42" s="66" t="s">
        <v>187</v>
      </c>
      <c r="E42" s="108">
        <f>E43/$E$51</f>
        <v>2.634105209929169E-2</v>
      </c>
      <c r="F42" s="116"/>
      <c r="G42" s="116">
        <v>0.1</v>
      </c>
      <c r="H42" s="116">
        <v>0.25</v>
      </c>
      <c r="I42" s="109">
        <v>0.65</v>
      </c>
      <c r="J42" s="119">
        <f t="shared" si="1"/>
        <v>1</v>
      </c>
      <c r="K42" s="68"/>
    </row>
    <row r="43" spans="1:11" ht="14.25" customHeight="1" thickBot="1" x14ac:dyDescent="0.25">
      <c r="A43" s="205"/>
      <c r="B43" s="206"/>
      <c r="C43" s="206"/>
      <c r="D43" s="66" t="s">
        <v>188</v>
      </c>
      <c r="E43" s="117">
        <f>'Planilha de quantitativos'!G108</f>
        <v>17900.1296</v>
      </c>
      <c r="F43" s="118"/>
      <c r="G43" s="118">
        <f>G42*$E$43</f>
        <v>1790.01296</v>
      </c>
      <c r="H43" s="118">
        <f>H42*$E$43</f>
        <v>4475.0324000000001</v>
      </c>
      <c r="I43" s="118">
        <f>I42*$E$43</f>
        <v>11635.08424</v>
      </c>
      <c r="J43" s="120">
        <f t="shared" si="1"/>
        <v>17900.1296</v>
      </c>
      <c r="K43" s="70"/>
    </row>
    <row r="44" spans="1:11" ht="14.25" customHeight="1" x14ac:dyDescent="0.2">
      <c r="A44" s="204">
        <v>20</v>
      </c>
      <c r="B44" s="206"/>
      <c r="C44" s="206" t="str">
        <f>'Planilha de quantitativos'!C113</f>
        <v>Administração local</v>
      </c>
      <c r="D44" s="66" t="s">
        <v>187</v>
      </c>
      <c r="E44" s="108">
        <f>E45/$E$51</f>
        <v>0.14355707061139436</v>
      </c>
      <c r="F44" s="116"/>
      <c r="G44" s="116">
        <v>0.1</v>
      </c>
      <c r="H44" s="116">
        <v>0.25</v>
      </c>
      <c r="I44" s="109">
        <v>0.65</v>
      </c>
      <c r="J44" s="119">
        <f t="shared" si="1"/>
        <v>1</v>
      </c>
      <c r="K44" s="68"/>
    </row>
    <row r="45" spans="1:11" ht="14.25" customHeight="1" thickBot="1" x14ac:dyDescent="0.25">
      <c r="A45" s="205"/>
      <c r="B45" s="206"/>
      <c r="C45" s="206"/>
      <c r="D45" s="66" t="s">
        <v>188</v>
      </c>
      <c r="E45" s="117">
        <f>'Planilha de quantitativos'!G113</f>
        <v>97554.576000000001</v>
      </c>
      <c r="F45" s="118"/>
      <c r="G45" s="118">
        <f>G44*$E$45</f>
        <v>9755.4575999999997</v>
      </c>
      <c r="H45" s="118">
        <f>H44*$E$45</f>
        <v>24388.644</v>
      </c>
      <c r="I45" s="118">
        <f>I44*$E$45</f>
        <v>63410.474399999999</v>
      </c>
      <c r="J45" s="120">
        <f t="shared" si="1"/>
        <v>97554.576000000001</v>
      </c>
      <c r="K45" s="70"/>
    </row>
    <row r="46" spans="1:11" ht="14.25" customHeight="1" x14ac:dyDescent="0.2">
      <c r="A46" s="204">
        <v>21</v>
      </c>
      <c r="B46" s="230"/>
      <c r="C46" s="228" t="s">
        <v>19</v>
      </c>
      <c r="D46" s="66" t="s">
        <v>187</v>
      </c>
      <c r="E46" s="108">
        <f>E47/$E$51</f>
        <v>1.3774132015199011E-3</v>
      </c>
      <c r="F46" s="116"/>
      <c r="G46" s="116"/>
      <c r="H46" s="116"/>
      <c r="I46" s="109">
        <v>1</v>
      </c>
      <c r="J46" s="119">
        <f t="shared" si="1"/>
        <v>1</v>
      </c>
      <c r="K46" s="68"/>
    </row>
    <row r="47" spans="1:11" ht="14.25" customHeight="1" x14ac:dyDescent="0.2">
      <c r="A47" s="205"/>
      <c r="B47" s="229"/>
      <c r="C47" s="229"/>
      <c r="D47" s="66" t="s">
        <v>188</v>
      </c>
      <c r="E47" s="117">
        <f>'Planilha de quantitativos'!G118</f>
        <v>936.02467839999997</v>
      </c>
      <c r="F47" s="118"/>
      <c r="G47" s="118"/>
      <c r="H47" s="118"/>
      <c r="I47" s="118">
        <f>I46*$E$47</f>
        <v>936.02467839999997</v>
      </c>
      <c r="J47" s="120">
        <f t="shared" si="1"/>
        <v>936.02467839999997</v>
      </c>
      <c r="K47" s="70"/>
    </row>
    <row r="48" spans="1:11" ht="14.25" customHeight="1" x14ac:dyDescent="0.2">
      <c r="A48" s="205"/>
      <c r="B48" s="241"/>
      <c r="C48" s="241"/>
      <c r="D48" s="66"/>
      <c r="E48" s="108"/>
      <c r="F48" s="116"/>
      <c r="G48" s="116"/>
      <c r="H48" s="116"/>
      <c r="I48" s="109"/>
      <c r="J48" s="67"/>
      <c r="K48" s="68"/>
    </row>
    <row r="49" spans="1:14" ht="14.25" customHeight="1" x14ac:dyDescent="0.2">
      <c r="A49" s="205"/>
      <c r="B49" s="242"/>
      <c r="C49" s="242"/>
      <c r="D49" s="72"/>
      <c r="E49" s="117"/>
      <c r="F49" s="69"/>
      <c r="G49" s="69"/>
      <c r="H49" s="69"/>
      <c r="I49" s="69"/>
      <c r="J49" s="67"/>
      <c r="K49" s="70"/>
    </row>
    <row r="50" spans="1:14" ht="14.25" customHeight="1" x14ac:dyDescent="0.2">
      <c r="A50" s="231" t="s">
        <v>5</v>
      </c>
      <c r="B50" s="232"/>
      <c r="C50" s="233"/>
      <c r="D50" s="73" t="s">
        <v>187</v>
      </c>
      <c r="E50" s="113">
        <f>E6+E8+E10+E12+E14+E16+E18+E20+E22+E24+E26+E28+E30+E32+E34+E36+E38+E40+E46</f>
        <v>0.83010187728931417</v>
      </c>
      <c r="F50" s="113">
        <f>F51/$E$51</f>
        <v>8.134928417604409E-2</v>
      </c>
      <c r="G50" s="113">
        <f>G51/$E$51</f>
        <v>0.14096445356748549</v>
      </c>
      <c r="H50" s="113">
        <f>H51/$E$51</f>
        <v>0.41854985718582943</v>
      </c>
      <c r="I50" s="113">
        <f>I51/$E$51</f>
        <v>0.35913640507064121</v>
      </c>
      <c r="J50" s="113">
        <f>J51/$E$51</f>
        <v>1.0000000000000002</v>
      </c>
      <c r="K50" s="113">
        <f>F50+G50+H50+I50</f>
        <v>1.0000000000000002</v>
      </c>
      <c r="L50" s="71"/>
    </row>
    <row r="51" spans="1:14" ht="13.5" customHeight="1" thickBot="1" x14ac:dyDescent="0.25">
      <c r="A51" s="234"/>
      <c r="B51" s="235"/>
      <c r="C51" s="236"/>
      <c r="D51" s="74" t="s">
        <v>188</v>
      </c>
      <c r="E51" s="114">
        <f>E7+E9+E11+E13+E15+E17+E19+E21+E23+E25+E27+E29+E31+E33+E35+E37+E39+E41+E43+E45+E47</f>
        <v>679552.56807989592</v>
      </c>
      <c r="F51" s="114">
        <f>F7+F9+F11+F13+F15+F17+F19+F21+F23+F25+F27+F29+F31+F33+F35+F37+F39+F41+F47</f>
        <v>55281.114973292002</v>
      </c>
      <c r="G51" s="114">
        <f>G7+G9+G11+G13+G15+G17+G19+G21+G23+G25+G27+G29+G31+G33+G35+G37+G39+G41+G47+G43+G45</f>
        <v>95792.756429764006</v>
      </c>
      <c r="H51" s="114">
        <f>H7+H9+H11+H13+H15+H17+H19+H21+H23+H25+H27+H29+H31+H33+H35+H37+H39+H41+H47+H43+H45</f>
        <v>284426.63032010407</v>
      </c>
      <c r="I51" s="114">
        <f>I7+I9+I11+I13+I15+I17+I19+I21+I23+I25+I27+I29+I31+I33+I35+I37+I39+I41+I47+I43+I45</f>
        <v>244052.066356736</v>
      </c>
      <c r="J51" s="123">
        <f>J7+J9+J11+J13+J15+J17+J19+J21+J23+J25+J27+J29+J31+J33+J35+J37+J39+J41+J47+J43+J45</f>
        <v>679552.56807989604</v>
      </c>
      <c r="K51" s="115">
        <f>F51+G51+H51+I51</f>
        <v>679552.56807989604</v>
      </c>
      <c r="L51" s="75"/>
    </row>
    <row r="52" spans="1:14" ht="3.75" customHeight="1" thickBot="1" x14ac:dyDescent="0.25">
      <c r="A52" s="76"/>
      <c r="B52" s="76"/>
      <c r="C52" s="76"/>
      <c r="D52" s="77"/>
      <c r="E52" s="77"/>
      <c r="F52" s="76"/>
      <c r="G52" s="76"/>
      <c r="H52" s="76"/>
      <c r="I52" s="76"/>
      <c r="J52" s="76"/>
      <c r="K52" s="76"/>
    </row>
    <row r="53" spans="1:14" ht="14.25" customHeight="1" x14ac:dyDescent="0.2">
      <c r="A53" s="78"/>
      <c r="B53" s="79"/>
      <c r="C53" s="79"/>
      <c r="D53" s="79"/>
      <c r="E53" s="79"/>
      <c r="F53" s="79"/>
      <c r="G53" s="80"/>
      <c r="H53" s="81"/>
      <c r="I53" s="82"/>
      <c r="J53" s="82"/>
      <c r="K53" s="83"/>
      <c r="M53" s="84" t="s">
        <v>189</v>
      </c>
    </row>
    <row r="54" spans="1:14" ht="14.25" customHeight="1" x14ac:dyDescent="0.2">
      <c r="A54" s="85"/>
      <c r="B54" s="86"/>
      <c r="C54" s="86"/>
      <c r="D54" s="87"/>
      <c r="E54" s="88"/>
      <c r="F54" s="86"/>
      <c r="G54" s="89"/>
      <c r="H54" s="90" t="s">
        <v>190</v>
      </c>
      <c r="K54" s="91"/>
    </row>
    <row r="55" spans="1:14" ht="14.25" customHeight="1" x14ac:dyDescent="0.2">
      <c r="A55" s="92"/>
      <c r="B55" s="237" t="s">
        <v>191</v>
      </c>
      <c r="C55" s="237"/>
      <c r="E55" s="238" t="s">
        <v>192</v>
      </c>
      <c r="F55" s="238"/>
      <c r="G55" s="93"/>
      <c r="H55" s="94"/>
      <c r="K55" s="95"/>
    </row>
    <row r="56" spans="1:14" ht="15" customHeight="1" x14ac:dyDescent="0.2">
      <c r="A56" s="96"/>
      <c r="B56" s="84"/>
      <c r="C56" s="84"/>
      <c r="G56" s="97"/>
      <c r="H56" s="94"/>
      <c r="K56" s="95"/>
    </row>
    <row r="57" spans="1:14" ht="13.5" customHeight="1" x14ac:dyDescent="0.2">
      <c r="A57" s="98"/>
      <c r="B57" s="239"/>
      <c r="C57" s="239"/>
      <c r="D57" s="99"/>
      <c r="E57" s="99"/>
      <c r="F57" s="100"/>
      <c r="G57" s="97"/>
      <c r="H57" s="94"/>
      <c r="K57" s="95"/>
      <c r="N57" s="153"/>
    </row>
    <row r="58" spans="1:14" ht="14.25" customHeight="1" thickBot="1" x14ac:dyDescent="0.25">
      <c r="A58" s="101"/>
      <c r="B58" s="240" t="s">
        <v>193</v>
      </c>
      <c r="C58" s="240"/>
      <c r="D58" s="102"/>
      <c r="E58" s="102"/>
      <c r="F58" s="103"/>
      <c r="G58" s="104"/>
      <c r="H58" s="105"/>
      <c r="I58" s="103"/>
      <c r="J58" s="103"/>
      <c r="K58" s="106"/>
    </row>
  </sheetData>
  <mergeCells count="79">
    <mergeCell ref="B40:B41"/>
    <mergeCell ref="C40:C41"/>
    <mergeCell ref="C28:C29"/>
    <mergeCell ref="A30:A31"/>
    <mergeCell ref="B30:B31"/>
    <mergeCell ref="A34:A35"/>
    <mergeCell ref="B34:B35"/>
    <mergeCell ref="B55:C55"/>
    <mergeCell ref="E55:F55"/>
    <mergeCell ref="B57:C57"/>
    <mergeCell ref="B58:C58"/>
    <mergeCell ref="A48:A49"/>
    <mergeCell ref="B48:B49"/>
    <mergeCell ref="C48:C49"/>
    <mergeCell ref="B28:B29"/>
    <mergeCell ref="A32:A33"/>
    <mergeCell ref="B32:B33"/>
    <mergeCell ref="C32:C33"/>
    <mergeCell ref="C34:C35"/>
    <mergeCell ref="A50:C51"/>
    <mergeCell ref="A36:A37"/>
    <mergeCell ref="B38:B39"/>
    <mergeCell ref="C38:C39"/>
    <mergeCell ref="A40:A41"/>
    <mergeCell ref="B36:B37"/>
    <mergeCell ref="C36:C37"/>
    <mergeCell ref="A38:A39"/>
    <mergeCell ref="A22:A23"/>
    <mergeCell ref="B22:B23"/>
    <mergeCell ref="C22:C23"/>
    <mergeCell ref="A26:A27"/>
    <mergeCell ref="B26:B27"/>
    <mergeCell ref="C26:C27"/>
    <mergeCell ref="A28:A29"/>
    <mergeCell ref="C46:C47"/>
    <mergeCell ref="B46:B47"/>
    <mergeCell ref="A46:A47"/>
    <mergeCell ref="A24:A25"/>
    <mergeCell ref="B24:B25"/>
    <mergeCell ref="C24:C25"/>
    <mergeCell ref="C30:C31"/>
    <mergeCell ref="A42:A43"/>
    <mergeCell ref="B42:B43"/>
    <mergeCell ref="C42:C43"/>
    <mergeCell ref="A18:A19"/>
    <mergeCell ref="B18:B19"/>
    <mergeCell ref="C18:C19"/>
    <mergeCell ref="A20:A21"/>
    <mergeCell ref="B20:B21"/>
    <mergeCell ref="C20:C21"/>
    <mergeCell ref="A14:A15"/>
    <mergeCell ref="B14:B15"/>
    <mergeCell ref="C14:C15"/>
    <mergeCell ref="A16:A17"/>
    <mergeCell ref="B16:B17"/>
    <mergeCell ref="C16:C17"/>
    <mergeCell ref="A10:A11"/>
    <mergeCell ref="B10:B11"/>
    <mergeCell ref="C10:C11"/>
    <mergeCell ref="A12:A13"/>
    <mergeCell ref="B12:B13"/>
    <mergeCell ref="C12:C13"/>
    <mergeCell ref="I4:K4"/>
    <mergeCell ref="A6:A7"/>
    <mergeCell ref="B6:B7"/>
    <mergeCell ref="C6:C7"/>
    <mergeCell ref="A8:A9"/>
    <mergeCell ref="B8:B9"/>
    <mergeCell ref="C8:C9"/>
    <mergeCell ref="A44:A45"/>
    <mergeCell ref="B44:B45"/>
    <mergeCell ref="C44:C45"/>
    <mergeCell ref="A2:K2"/>
    <mergeCell ref="A3:C3"/>
    <mergeCell ref="D3:E3"/>
    <mergeCell ref="F3:G3"/>
    <mergeCell ref="I3:K3"/>
    <mergeCell ref="A4:C4"/>
    <mergeCell ref="D4:H4"/>
  </mergeCells>
  <phoneticPr fontId="2" type="noConversion"/>
  <pageMargins left="0.78740157499999996" right="0.78740157499999996" top="0.984251969" bottom="0.984251969" header="0.49212598499999999" footer="0.49212598499999999"/>
  <pageSetup paperSize="9" scale="5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Planilha de quantitativos</vt:lpstr>
      <vt:lpstr>Memória de cálculo</vt:lpstr>
      <vt:lpstr>Memória Auxiliar</vt:lpstr>
      <vt:lpstr>CRONOGRAMA</vt:lpstr>
      <vt:lpstr>'Planilha de quantitativos'!Area_de_impressao</vt:lpstr>
    </vt:vector>
  </TitlesOfParts>
  <Company>Setop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Samara</cp:lastModifiedBy>
  <cp:lastPrinted>2025-10-13T18:33:46Z</cp:lastPrinted>
  <dcterms:created xsi:type="dcterms:W3CDTF">2006-09-22T13:55:22Z</dcterms:created>
  <dcterms:modified xsi:type="dcterms:W3CDTF">2025-10-13T19:00:49Z</dcterms:modified>
</cp:coreProperties>
</file>